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bookViews>
    <workbookView xWindow="0" yWindow="0" windowWidth="16663" windowHeight="7757" tabRatio="683"/>
  </bookViews>
  <sheets>
    <sheet name="1º TRIMESTRE" sheetId="1" r:id="rId1"/>
    <sheet name="2º TRIMESTRE" sheetId="2" r:id="rId2"/>
    <sheet name="3o TRIMESTRE" sheetId="3" r:id="rId3"/>
    <sheet name="4o TRIMESTRE" sheetId="5" r:id="rId4"/>
    <sheet name="Consolidado" sheetId="7" r:id="rId5"/>
    <sheet name="Relatório de Compatibilidade" sheetId="4" r:id="rId6"/>
  </sheets>
  <definedNames>
    <definedName name="__Anonymous_Sheet_DB__1">'1º TRIMESTRE'!$C$7:$U$48</definedName>
    <definedName name="_xlnm._FilterDatabase" localSheetId="0" hidden="1">'1º TRIMESTRE'!$A$7:$DJ$91</definedName>
    <definedName name="_xlnm._FilterDatabase" localSheetId="1" hidden="1">'2º TRIMESTRE'!$A$7:$DE$112</definedName>
    <definedName name="_xlnm._FilterDatabase" localSheetId="2" hidden="1">'3o TRIMESTRE'!$A$7:$AQ$87</definedName>
    <definedName name="_xlnm._FilterDatabase" localSheetId="3" hidden="1">'4o TRIMESTRE'!$A$7:$AC$87</definedName>
    <definedName name="_xlnm._FilterDatabase" localSheetId="4" hidden="1">Consolidado!$A$7:$DO$130</definedName>
    <definedName name="_xlnm.Print_Area" localSheetId="0">'1º TRIMESTRE'!$A$1:$V$63</definedName>
    <definedName name="_xlnm.Print_Area" localSheetId="1">'2º TRIMESTRE'!$A$1:$V$112</definedName>
    <definedName name="_xlnm.Print_Area" localSheetId="2">'3o TRIMESTRE'!$A$1:$V$91</definedName>
    <definedName name="_xlnm.Print_Area" localSheetId="3">'4o TRIMESTRE'!$A$6:$V$87</definedName>
    <definedName name="_xlnm.Print_Area" localSheetId="4">Consolidado!$I$7:$P$130</definedName>
    <definedName name="_xlnm.Print_Titles" localSheetId="0">'1º TRIMESTRE'!$1:$7</definedName>
    <definedName name="_xlnm.Print_Titles" localSheetId="1">'2º TRIMESTRE'!$1:$7</definedName>
    <definedName name="_xlnm.Print_Titles" localSheetId="2">'3o TRIMESTRE'!$3:$7</definedName>
    <definedName name="_xlnm.Print_Titles" localSheetId="3">'4o TRIMESTRE'!$1:$7</definedName>
    <definedName name="_xlnm.Print_Titles" localSheetId="4">Consolidado!$1:$7</definedName>
  </definedNames>
  <calcPr calcId="124519"/>
</workbook>
</file>

<file path=xl/calcChain.xml><?xml version="1.0" encoding="utf-8"?>
<calcChain xmlns="http://schemas.openxmlformats.org/spreadsheetml/2006/main">
  <c r="T68" i="1"/>
  <c r="P68"/>
  <c r="M68"/>
  <c r="T73"/>
  <c r="M73"/>
  <c r="T70"/>
  <c r="M70"/>
  <c r="T61"/>
  <c r="U61" s="1"/>
  <c r="M61"/>
  <c r="T32" l="1"/>
  <c r="U32" s="1"/>
  <c r="M32"/>
  <c r="T66" l="1"/>
  <c r="U66" s="1"/>
  <c r="T67"/>
  <c r="U67" s="1"/>
  <c r="M67"/>
  <c r="T65" l="1"/>
  <c r="U65" s="1"/>
  <c r="T69"/>
  <c r="U69" s="1"/>
  <c r="T71"/>
  <c r="U71" s="1"/>
  <c r="T72"/>
  <c r="U72" s="1"/>
  <c r="T74"/>
  <c r="U74" s="1"/>
  <c r="T75"/>
  <c r="U75" s="1"/>
  <c r="T76"/>
  <c r="T77"/>
  <c r="T78"/>
  <c r="T79"/>
  <c r="T80"/>
  <c r="T81"/>
  <c r="T82"/>
  <c r="T83"/>
  <c r="T84"/>
  <c r="T85"/>
  <c r="T86"/>
  <c r="T87"/>
  <c r="T88"/>
  <c r="T89"/>
  <c r="T90"/>
  <c r="T91"/>
  <c r="T64"/>
  <c r="U64" s="1"/>
  <c r="S51"/>
  <c r="S54"/>
  <c r="S50"/>
  <c r="S60" l="1"/>
  <c r="S58"/>
  <c r="S30"/>
  <c r="S27"/>
  <c r="S26"/>
  <c r="M75" l="1"/>
  <c r="M74"/>
  <c r="M72"/>
  <c r="M71"/>
  <c r="M69"/>
  <c r="M66"/>
  <c r="M65"/>
  <c r="M64"/>
  <c r="M91"/>
  <c r="M90"/>
  <c r="M89"/>
  <c r="M88"/>
  <c r="M87"/>
  <c r="M86"/>
  <c r="M85"/>
  <c r="M84"/>
  <c r="M83"/>
  <c r="M82"/>
  <c r="M81"/>
  <c r="R63"/>
  <c r="R62" i="2" s="1"/>
  <c r="R62" i="1"/>
  <c r="R61" i="2" s="1"/>
  <c r="R18" i="1"/>
  <c r="R60" i="2" s="1"/>
  <c r="R60" i="1"/>
  <c r="R31"/>
  <c r="R58" i="2" s="1"/>
  <c r="R59" i="1"/>
  <c r="R57" i="2" s="1"/>
  <c r="R58" i="1"/>
  <c r="R56" i="2" s="1"/>
  <c r="R30" i="1"/>
  <c r="R55" i="2" s="1"/>
  <c r="R29" i="1"/>
  <c r="R54" i="2" s="1"/>
  <c r="R57" i="1"/>
  <c r="R56"/>
  <c r="R52" i="2" s="1"/>
  <c r="O56" i="1"/>
  <c r="O52" i="2" s="1"/>
  <c r="R55" i="1"/>
  <c r="R28"/>
  <c r="R50" i="2" s="1"/>
  <c r="R27" i="1"/>
  <c r="R49" i="2" s="1"/>
  <c r="O27" i="1"/>
  <c r="O49" i="2" s="1"/>
  <c r="R26" i="1"/>
  <c r="R48" i="2" s="1"/>
  <c r="R54" i="1"/>
  <c r="R47" i="2" s="1"/>
  <c r="R25" i="1"/>
  <c r="R46" i="2" s="1"/>
  <c r="R53" i="1"/>
  <c r="R52"/>
  <c r="R44" i="2" s="1"/>
  <c r="R51" i="1"/>
  <c r="R42" i="2" s="1"/>
  <c r="R50" i="1"/>
  <c r="R41" i="2" s="1"/>
  <c r="R11" i="1"/>
  <c r="R40" i="2" s="1"/>
  <c r="O11" i="1"/>
  <c r="O40" i="2" s="1"/>
  <c r="N11" i="1"/>
  <c r="N40" i="2" s="1"/>
  <c r="R23" i="1"/>
  <c r="R38" i="2" s="1"/>
  <c r="R17" i="1"/>
  <c r="R10"/>
  <c r="O10"/>
  <c r="O36" i="2" s="1"/>
  <c r="N10" i="1"/>
  <c r="N36" i="2" s="1"/>
  <c r="R48" i="1"/>
  <c r="R35" i="2" s="1"/>
  <c r="R47" i="1"/>
  <c r="R33" i="2" s="1"/>
  <c r="P8" i="1"/>
  <c r="P32" i="2" s="1"/>
  <c r="R8" i="1"/>
  <c r="R32" i="2" s="1"/>
  <c r="O8" i="1"/>
  <c r="O32" i="2" s="1"/>
  <c r="N8" i="1"/>
  <c r="R46"/>
  <c r="R31" i="2" s="1"/>
  <c r="R16" i="1"/>
  <c r="R30" i="2" s="1"/>
  <c r="P16" i="1"/>
  <c r="P30" i="2" s="1"/>
  <c r="R45" i="1"/>
  <c r="R29" i="2" s="1"/>
  <c r="R22" i="1"/>
  <c r="R28" i="2" s="1"/>
  <c r="R15" i="1"/>
  <c r="R27" i="2" s="1"/>
  <c r="R14" i="1"/>
  <c r="P14"/>
  <c r="R21"/>
  <c r="R25" i="2" s="1"/>
  <c r="R44" i="1"/>
  <c r="R24" i="2" s="1"/>
  <c r="R20" i="1"/>
  <c r="R23" i="2" s="1"/>
  <c r="O20" i="1"/>
  <c r="O23" i="2" s="1"/>
  <c r="R43" i="1"/>
  <c r="R22" i="2" s="1"/>
  <c r="R19" i="1"/>
  <c r="R13"/>
  <c r="R20" i="2" s="1"/>
  <c r="R42" i="1"/>
  <c r="R41"/>
  <c r="R18" i="2" s="1"/>
  <c r="P40" i="1"/>
  <c r="P17" i="2" s="1"/>
  <c r="P39" i="1"/>
  <c r="P16" i="2" s="1"/>
  <c r="R39" i="1"/>
  <c r="R16" i="2" s="1"/>
  <c r="R37" i="1"/>
  <c r="R14" i="2" s="1"/>
  <c r="O37" i="1"/>
  <c r="O14" i="2" s="1"/>
  <c r="R36" i="1"/>
  <c r="R13" i="2" s="1"/>
  <c r="O36" i="1"/>
  <c r="R35"/>
  <c r="R12" i="2" s="1"/>
  <c r="O35" i="1"/>
  <c r="O12" i="2" s="1"/>
  <c r="N34" i="1"/>
  <c r="N11" i="2" s="1"/>
  <c r="R34" i="1"/>
  <c r="R11" i="2" s="1"/>
  <c r="R33" i="1"/>
  <c r="R10" i="2" s="1"/>
  <c r="R12" i="1"/>
  <c r="M12"/>
  <c r="M33"/>
  <c r="M35"/>
  <c r="M36"/>
  <c r="M37"/>
  <c r="M38"/>
  <c r="M39"/>
  <c r="M40"/>
  <c r="M41"/>
  <c r="M42"/>
  <c r="M13"/>
  <c r="M19"/>
  <c r="M43"/>
  <c r="M20"/>
  <c r="M44"/>
  <c r="M21"/>
  <c r="M14"/>
  <c r="M15"/>
  <c r="M22"/>
  <c r="M45"/>
  <c r="M16"/>
  <c r="M46"/>
  <c r="M8"/>
  <c r="M47"/>
  <c r="M9"/>
  <c r="M48"/>
  <c r="M10"/>
  <c r="M17"/>
  <c r="M23"/>
  <c r="M49"/>
  <c r="M11"/>
  <c r="M50"/>
  <c r="M51"/>
  <c r="M24"/>
  <c r="M52"/>
  <c r="M53"/>
  <c r="M25"/>
  <c r="M54"/>
  <c r="M26"/>
  <c r="M27"/>
  <c r="M28"/>
  <c r="M55"/>
  <c r="M56"/>
  <c r="M57"/>
  <c r="M29"/>
  <c r="M30"/>
  <c r="M58"/>
  <c r="M59"/>
  <c r="M31"/>
  <c r="M60"/>
  <c r="M18"/>
  <c r="M62"/>
  <c r="M63"/>
  <c r="M76"/>
  <c r="M77"/>
  <c r="M78"/>
  <c r="M79"/>
  <c r="M80"/>
  <c r="A9" i="2"/>
  <c r="B9"/>
  <c r="C9"/>
  <c r="D9"/>
  <c r="E9"/>
  <c r="F9"/>
  <c r="G9"/>
  <c r="H9"/>
  <c r="I9"/>
  <c r="J9"/>
  <c r="K9"/>
  <c r="L9"/>
  <c r="M9"/>
  <c r="N9"/>
  <c r="O9"/>
  <c r="P9"/>
  <c r="Q9"/>
  <c r="R9"/>
  <c r="S9"/>
  <c r="V9"/>
  <c r="A10"/>
  <c r="B10"/>
  <c r="C10"/>
  <c r="D10"/>
  <c r="E10"/>
  <c r="F10"/>
  <c r="G10"/>
  <c r="H10"/>
  <c r="I10"/>
  <c r="J10"/>
  <c r="K10"/>
  <c r="L10"/>
  <c r="N10"/>
  <c r="O10"/>
  <c r="P10"/>
  <c r="Q10"/>
  <c r="S10"/>
  <c r="V10"/>
  <c r="A11"/>
  <c r="B11"/>
  <c r="C11"/>
  <c r="D11"/>
  <c r="E11"/>
  <c r="F11"/>
  <c r="G11"/>
  <c r="H11"/>
  <c r="I11"/>
  <c r="J11"/>
  <c r="K11"/>
  <c r="L11"/>
  <c r="O11"/>
  <c r="P11"/>
  <c r="Q11"/>
  <c r="S11"/>
  <c r="V11"/>
  <c r="A12"/>
  <c r="B12"/>
  <c r="C12"/>
  <c r="D12"/>
  <c r="E12"/>
  <c r="F12"/>
  <c r="G12"/>
  <c r="H12"/>
  <c r="I12"/>
  <c r="J12"/>
  <c r="K12"/>
  <c r="L12"/>
  <c r="N12"/>
  <c r="P12"/>
  <c r="Q12"/>
  <c r="S12"/>
  <c r="V12"/>
  <c r="A13"/>
  <c r="B13"/>
  <c r="C13"/>
  <c r="D13"/>
  <c r="E13"/>
  <c r="F13"/>
  <c r="G13"/>
  <c r="H13"/>
  <c r="I13"/>
  <c r="J13"/>
  <c r="K13"/>
  <c r="L13"/>
  <c r="N13"/>
  <c r="O13"/>
  <c r="P13"/>
  <c r="Q13"/>
  <c r="S13"/>
  <c r="V13"/>
  <c r="A14"/>
  <c r="B14"/>
  <c r="C14"/>
  <c r="D14"/>
  <c r="E14"/>
  <c r="F14"/>
  <c r="G14"/>
  <c r="H14"/>
  <c r="I14"/>
  <c r="J14"/>
  <c r="K14"/>
  <c r="L14"/>
  <c r="N14"/>
  <c r="P14"/>
  <c r="Q14"/>
  <c r="S14"/>
  <c r="V14"/>
  <c r="A15"/>
  <c r="B15"/>
  <c r="C15"/>
  <c r="D15"/>
  <c r="E15"/>
  <c r="F15"/>
  <c r="G15"/>
  <c r="H15"/>
  <c r="I15"/>
  <c r="J15"/>
  <c r="K15"/>
  <c r="L15"/>
  <c r="N15"/>
  <c r="O15"/>
  <c r="P15"/>
  <c r="Q15"/>
  <c r="R15"/>
  <c r="S15"/>
  <c r="V15"/>
  <c r="A16"/>
  <c r="B16"/>
  <c r="C16"/>
  <c r="D16"/>
  <c r="E16"/>
  <c r="F16"/>
  <c r="G16"/>
  <c r="H16"/>
  <c r="I16"/>
  <c r="J16"/>
  <c r="K16"/>
  <c r="L16"/>
  <c r="N16"/>
  <c r="O16"/>
  <c r="Q16"/>
  <c r="S16"/>
  <c r="V16"/>
  <c r="A17"/>
  <c r="B17"/>
  <c r="C17"/>
  <c r="D17"/>
  <c r="E17"/>
  <c r="F17"/>
  <c r="G17"/>
  <c r="H17"/>
  <c r="I17"/>
  <c r="J17"/>
  <c r="K17"/>
  <c r="L17"/>
  <c r="N17"/>
  <c r="O17"/>
  <c r="Q17"/>
  <c r="R17"/>
  <c r="S17"/>
  <c r="V17"/>
  <c r="A18"/>
  <c r="B18"/>
  <c r="C18"/>
  <c r="D18"/>
  <c r="E18"/>
  <c r="F18"/>
  <c r="G18"/>
  <c r="H18"/>
  <c r="I18"/>
  <c r="J18"/>
  <c r="K18"/>
  <c r="L18"/>
  <c r="N18"/>
  <c r="O18"/>
  <c r="P18"/>
  <c r="Q18"/>
  <c r="S18"/>
  <c r="V18"/>
  <c r="A19"/>
  <c r="B19"/>
  <c r="C19"/>
  <c r="D19"/>
  <c r="E19"/>
  <c r="F19"/>
  <c r="G19"/>
  <c r="H19"/>
  <c r="I19"/>
  <c r="J19"/>
  <c r="K19"/>
  <c r="L19"/>
  <c r="N19"/>
  <c r="O19"/>
  <c r="P19"/>
  <c r="Q19"/>
  <c r="R19"/>
  <c r="S19"/>
  <c r="V19"/>
  <c r="A20"/>
  <c r="B20"/>
  <c r="C20"/>
  <c r="D20"/>
  <c r="E20"/>
  <c r="F20"/>
  <c r="G20"/>
  <c r="H20"/>
  <c r="I20"/>
  <c r="J20"/>
  <c r="K20"/>
  <c r="L20"/>
  <c r="N20"/>
  <c r="O20"/>
  <c r="P20"/>
  <c r="Q20"/>
  <c r="S20"/>
  <c r="V20"/>
  <c r="A21"/>
  <c r="B21"/>
  <c r="C21"/>
  <c r="D21"/>
  <c r="E21"/>
  <c r="F21"/>
  <c r="G21"/>
  <c r="H21"/>
  <c r="I21"/>
  <c r="J21"/>
  <c r="K21"/>
  <c r="L21"/>
  <c r="N21"/>
  <c r="O21"/>
  <c r="P21"/>
  <c r="Q21"/>
  <c r="R21"/>
  <c r="S21"/>
  <c r="V21"/>
  <c r="A22"/>
  <c r="B22"/>
  <c r="C22"/>
  <c r="D22"/>
  <c r="E22"/>
  <c r="F22"/>
  <c r="G22"/>
  <c r="H22"/>
  <c r="I22"/>
  <c r="J22"/>
  <c r="K22"/>
  <c r="L22"/>
  <c r="N22"/>
  <c r="O22"/>
  <c r="P22"/>
  <c r="Q22"/>
  <c r="S22"/>
  <c r="V22"/>
  <c r="A23"/>
  <c r="B23"/>
  <c r="C23"/>
  <c r="D23"/>
  <c r="E23"/>
  <c r="F23"/>
  <c r="G23"/>
  <c r="H23"/>
  <c r="I23"/>
  <c r="J23"/>
  <c r="K23"/>
  <c r="L23"/>
  <c r="N23"/>
  <c r="P23"/>
  <c r="Q23"/>
  <c r="S23"/>
  <c r="V23"/>
  <c r="A24"/>
  <c r="B24"/>
  <c r="C24"/>
  <c r="D24"/>
  <c r="E24"/>
  <c r="F24"/>
  <c r="G24"/>
  <c r="H24"/>
  <c r="I24"/>
  <c r="J24"/>
  <c r="K24"/>
  <c r="L24"/>
  <c r="N24"/>
  <c r="O24"/>
  <c r="P24"/>
  <c r="Q24"/>
  <c r="S24"/>
  <c r="V24"/>
  <c r="A25"/>
  <c r="B25"/>
  <c r="C25"/>
  <c r="D25"/>
  <c r="E25"/>
  <c r="F25"/>
  <c r="G25"/>
  <c r="H25"/>
  <c r="I25"/>
  <c r="J25"/>
  <c r="K25"/>
  <c r="L25"/>
  <c r="N25"/>
  <c r="O25"/>
  <c r="P25"/>
  <c r="Q25"/>
  <c r="S25"/>
  <c r="V25"/>
  <c r="A26"/>
  <c r="B26"/>
  <c r="C26"/>
  <c r="D26"/>
  <c r="E26"/>
  <c r="F26"/>
  <c r="G26"/>
  <c r="H26"/>
  <c r="I26"/>
  <c r="J26"/>
  <c r="K26"/>
  <c r="L26"/>
  <c r="N26"/>
  <c r="O26"/>
  <c r="P26"/>
  <c r="Q26"/>
  <c r="R26"/>
  <c r="S26"/>
  <c r="V26"/>
  <c r="A27"/>
  <c r="B27"/>
  <c r="C27"/>
  <c r="D27"/>
  <c r="E27"/>
  <c r="F27"/>
  <c r="G27"/>
  <c r="H27"/>
  <c r="I27"/>
  <c r="J27"/>
  <c r="K27"/>
  <c r="L27"/>
  <c r="N27"/>
  <c r="O27"/>
  <c r="P27"/>
  <c r="Q27"/>
  <c r="S27"/>
  <c r="V27"/>
  <c r="A28"/>
  <c r="B28"/>
  <c r="C28"/>
  <c r="D28"/>
  <c r="E28"/>
  <c r="F28"/>
  <c r="G28"/>
  <c r="H28"/>
  <c r="I28"/>
  <c r="J28"/>
  <c r="K28"/>
  <c r="L28"/>
  <c r="N28"/>
  <c r="O28"/>
  <c r="P28"/>
  <c r="Q28"/>
  <c r="S28"/>
  <c r="V28"/>
  <c r="A29"/>
  <c r="B29"/>
  <c r="C29"/>
  <c r="D29"/>
  <c r="E29"/>
  <c r="F29"/>
  <c r="G29"/>
  <c r="H29"/>
  <c r="I29"/>
  <c r="J29"/>
  <c r="K29"/>
  <c r="L29"/>
  <c r="N29"/>
  <c r="O29"/>
  <c r="P29"/>
  <c r="Q29"/>
  <c r="S29"/>
  <c r="V29"/>
  <c r="A30"/>
  <c r="B30"/>
  <c r="C30"/>
  <c r="D30"/>
  <c r="E30"/>
  <c r="F30"/>
  <c r="G30"/>
  <c r="H30"/>
  <c r="I30"/>
  <c r="J30"/>
  <c r="K30"/>
  <c r="L30"/>
  <c r="N30"/>
  <c r="O30"/>
  <c r="Q30"/>
  <c r="S30"/>
  <c r="V30"/>
  <c r="A31"/>
  <c r="B31"/>
  <c r="C31"/>
  <c r="D31"/>
  <c r="E31"/>
  <c r="F31"/>
  <c r="G31"/>
  <c r="H31"/>
  <c r="I31"/>
  <c r="J31"/>
  <c r="K31"/>
  <c r="L31"/>
  <c r="N31"/>
  <c r="O31"/>
  <c r="P31"/>
  <c r="Q31"/>
  <c r="S31"/>
  <c r="V31"/>
  <c r="A32"/>
  <c r="B32"/>
  <c r="C32"/>
  <c r="D32"/>
  <c r="E32"/>
  <c r="F32"/>
  <c r="G32"/>
  <c r="H32"/>
  <c r="I32"/>
  <c r="J32"/>
  <c r="K32"/>
  <c r="L32"/>
  <c r="N32"/>
  <c r="Q32"/>
  <c r="S32"/>
  <c r="V32"/>
  <c r="A33"/>
  <c r="B33"/>
  <c r="C33"/>
  <c r="D33"/>
  <c r="E33"/>
  <c r="F33"/>
  <c r="G33"/>
  <c r="H33"/>
  <c r="I33"/>
  <c r="J33"/>
  <c r="K33"/>
  <c r="L33"/>
  <c r="N33"/>
  <c r="O33"/>
  <c r="P33"/>
  <c r="Q33"/>
  <c r="S33"/>
  <c r="V33"/>
  <c r="A34"/>
  <c r="B34"/>
  <c r="C34"/>
  <c r="D34"/>
  <c r="E34"/>
  <c r="F34"/>
  <c r="G34"/>
  <c r="H34"/>
  <c r="I34"/>
  <c r="J34"/>
  <c r="K34"/>
  <c r="L34"/>
  <c r="M34"/>
  <c r="N34"/>
  <c r="O34"/>
  <c r="P34"/>
  <c r="Q34"/>
  <c r="R34"/>
  <c r="S34"/>
  <c r="V34"/>
  <c r="A35"/>
  <c r="B35"/>
  <c r="C35"/>
  <c r="D35"/>
  <c r="E35"/>
  <c r="F35"/>
  <c r="G35"/>
  <c r="H35"/>
  <c r="I35"/>
  <c r="J35"/>
  <c r="K35"/>
  <c r="L35"/>
  <c r="N35"/>
  <c r="O35"/>
  <c r="P35"/>
  <c r="Q35"/>
  <c r="S35"/>
  <c r="V35"/>
  <c r="A36"/>
  <c r="B36"/>
  <c r="C36"/>
  <c r="D36"/>
  <c r="E36"/>
  <c r="F36"/>
  <c r="G36"/>
  <c r="H36"/>
  <c r="I36"/>
  <c r="J36"/>
  <c r="K36"/>
  <c r="L36"/>
  <c r="P36"/>
  <c r="Q36"/>
  <c r="R36"/>
  <c r="S36"/>
  <c r="V36"/>
  <c r="A37"/>
  <c r="B37"/>
  <c r="C37"/>
  <c r="D37"/>
  <c r="E37"/>
  <c r="F37"/>
  <c r="G37"/>
  <c r="H37"/>
  <c r="I37"/>
  <c r="J37"/>
  <c r="K37"/>
  <c r="L37"/>
  <c r="N37"/>
  <c r="O37"/>
  <c r="P37"/>
  <c r="Q37"/>
  <c r="R37"/>
  <c r="S37"/>
  <c r="V37"/>
  <c r="A38"/>
  <c r="B38"/>
  <c r="C38"/>
  <c r="D38"/>
  <c r="E38"/>
  <c r="F38"/>
  <c r="G38"/>
  <c r="H38"/>
  <c r="I38"/>
  <c r="J38"/>
  <c r="K38"/>
  <c r="L38"/>
  <c r="N38"/>
  <c r="O38"/>
  <c r="P38"/>
  <c r="Q38"/>
  <c r="S38"/>
  <c r="V38"/>
  <c r="A39"/>
  <c r="B39"/>
  <c r="C39"/>
  <c r="D39"/>
  <c r="E39"/>
  <c r="F39"/>
  <c r="G39"/>
  <c r="H39"/>
  <c r="I39"/>
  <c r="J39"/>
  <c r="K39"/>
  <c r="L39"/>
  <c r="N39"/>
  <c r="O39"/>
  <c r="P39"/>
  <c r="Q39"/>
  <c r="R39"/>
  <c r="S39"/>
  <c r="V39"/>
  <c r="A40"/>
  <c r="B40"/>
  <c r="C40"/>
  <c r="D40"/>
  <c r="E40"/>
  <c r="F40"/>
  <c r="G40"/>
  <c r="H40"/>
  <c r="I40"/>
  <c r="J40"/>
  <c r="K40"/>
  <c r="L40"/>
  <c r="P40"/>
  <c r="Q40"/>
  <c r="S40"/>
  <c r="V40"/>
  <c r="A41"/>
  <c r="B41"/>
  <c r="C41"/>
  <c r="D41"/>
  <c r="E41"/>
  <c r="F41"/>
  <c r="G41"/>
  <c r="H41"/>
  <c r="I41"/>
  <c r="J41"/>
  <c r="K41"/>
  <c r="L41"/>
  <c r="N41"/>
  <c r="O41"/>
  <c r="P41"/>
  <c r="Q41"/>
  <c r="S41"/>
  <c r="V41"/>
  <c r="A42"/>
  <c r="B42"/>
  <c r="C42"/>
  <c r="D42"/>
  <c r="E42"/>
  <c r="F42"/>
  <c r="G42"/>
  <c r="H42"/>
  <c r="I42"/>
  <c r="J42"/>
  <c r="K42"/>
  <c r="L42"/>
  <c r="N42"/>
  <c r="O42"/>
  <c r="P42"/>
  <c r="Q42"/>
  <c r="S42"/>
  <c r="V42"/>
  <c r="A43"/>
  <c r="B43"/>
  <c r="C43"/>
  <c r="D43"/>
  <c r="E43"/>
  <c r="F43"/>
  <c r="G43"/>
  <c r="H43"/>
  <c r="I43"/>
  <c r="J43"/>
  <c r="K43"/>
  <c r="L43"/>
  <c r="N43"/>
  <c r="O43"/>
  <c r="P43"/>
  <c r="Q43"/>
  <c r="R43"/>
  <c r="S43"/>
  <c r="V43"/>
  <c r="A44"/>
  <c r="B44"/>
  <c r="C44"/>
  <c r="D44"/>
  <c r="E44"/>
  <c r="F44"/>
  <c r="G44"/>
  <c r="H44"/>
  <c r="I44"/>
  <c r="J44"/>
  <c r="K44"/>
  <c r="L44"/>
  <c r="N44"/>
  <c r="O44"/>
  <c r="P44"/>
  <c r="Q44"/>
  <c r="S44"/>
  <c r="V44"/>
  <c r="A45"/>
  <c r="B45"/>
  <c r="C45"/>
  <c r="D45"/>
  <c r="E45"/>
  <c r="F45"/>
  <c r="G45"/>
  <c r="H45"/>
  <c r="I45"/>
  <c r="J45"/>
  <c r="K45"/>
  <c r="L45"/>
  <c r="N45"/>
  <c r="O45"/>
  <c r="P45"/>
  <c r="Q45"/>
  <c r="R45"/>
  <c r="S45"/>
  <c r="V45"/>
  <c r="A46"/>
  <c r="B46"/>
  <c r="C46"/>
  <c r="D46"/>
  <c r="E46"/>
  <c r="F46"/>
  <c r="G46"/>
  <c r="H46"/>
  <c r="I46"/>
  <c r="J46"/>
  <c r="K46"/>
  <c r="L46"/>
  <c r="N46"/>
  <c r="O46"/>
  <c r="P46"/>
  <c r="Q46"/>
  <c r="S46"/>
  <c r="V46"/>
  <c r="A47"/>
  <c r="B47"/>
  <c r="C47"/>
  <c r="D47"/>
  <c r="E47"/>
  <c r="F47"/>
  <c r="G47"/>
  <c r="H47"/>
  <c r="I47"/>
  <c r="J47"/>
  <c r="K47"/>
  <c r="L47"/>
  <c r="N47"/>
  <c r="O47"/>
  <c r="P47"/>
  <c r="Q47"/>
  <c r="S47"/>
  <c r="V47"/>
  <c r="A48"/>
  <c r="B48"/>
  <c r="C48"/>
  <c r="D48"/>
  <c r="E48"/>
  <c r="F48"/>
  <c r="G48"/>
  <c r="H48"/>
  <c r="I48"/>
  <c r="J48"/>
  <c r="K48"/>
  <c r="L48"/>
  <c r="N48"/>
  <c r="O48"/>
  <c r="P48"/>
  <c r="Q48"/>
  <c r="S48"/>
  <c r="V48"/>
  <c r="A49"/>
  <c r="B49"/>
  <c r="C49"/>
  <c r="D49"/>
  <c r="E49"/>
  <c r="F49"/>
  <c r="G49"/>
  <c r="H49"/>
  <c r="I49"/>
  <c r="J49"/>
  <c r="K49"/>
  <c r="L49"/>
  <c r="N49"/>
  <c r="P49"/>
  <c r="Q49"/>
  <c r="S49"/>
  <c r="V49"/>
  <c r="A50"/>
  <c r="B50"/>
  <c r="C50"/>
  <c r="D50"/>
  <c r="E50"/>
  <c r="F50"/>
  <c r="G50"/>
  <c r="H50"/>
  <c r="I50"/>
  <c r="J50"/>
  <c r="K50"/>
  <c r="L50"/>
  <c r="N50"/>
  <c r="O50"/>
  <c r="P50"/>
  <c r="Q50"/>
  <c r="S50"/>
  <c r="V50"/>
  <c r="A51"/>
  <c r="B51"/>
  <c r="C51"/>
  <c r="D51"/>
  <c r="E51"/>
  <c r="F51"/>
  <c r="G51"/>
  <c r="H51"/>
  <c r="I51"/>
  <c r="J51"/>
  <c r="K51"/>
  <c r="L51"/>
  <c r="N51"/>
  <c r="O51"/>
  <c r="P51"/>
  <c r="Q51"/>
  <c r="R51"/>
  <c r="S51"/>
  <c r="V51"/>
  <c r="A52"/>
  <c r="B52"/>
  <c r="C52"/>
  <c r="D52"/>
  <c r="E52"/>
  <c r="F52"/>
  <c r="G52"/>
  <c r="H52"/>
  <c r="I52"/>
  <c r="J52"/>
  <c r="K52"/>
  <c r="L52"/>
  <c r="N52"/>
  <c r="P52"/>
  <c r="Q52"/>
  <c r="S52"/>
  <c r="V52"/>
  <c r="A53"/>
  <c r="B53"/>
  <c r="C53"/>
  <c r="D53"/>
  <c r="E53"/>
  <c r="F53"/>
  <c r="G53"/>
  <c r="H53"/>
  <c r="I53"/>
  <c r="J53"/>
  <c r="K53"/>
  <c r="L53"/>
  <c r="N53"/>
  <c r="O53"/>
  <c r="P53"/>
  <c r="Q53"/>
  <c r="R53"/>
  <c r="S53"/>
  <c r="V53"/>
  <c r="A54"/>
  <c r="B54"/>
  <c r="C54"/>
  <c r="D54"/>
  <c r="E54"/>
  <c r="F54"/>
  <c r="G54"/>
  <c r="H54"/>
  <c r="I54"/>
  <c r="J54"/>
  <c r="K54"/>
  <c r="L54"/>
  <c r="N54"/>
  <c r="O54"/>
  <c r="P54"/>
  <c r="Q54"/>
  <c r="S54"/>
  <c r="V54"/>
  <c r="A55"/>
  <c r="B55"/>
  <c r="C55"/>
  <c r="D55"/>
  <c r="E55"/>
  <c r="F55"/>
  <c r="G55"/>
  <c r="H55"/>
  <c r="I55"/>
  <c r="J55"/>
  <c r="K55"/>
  <c r="L55"/>
  <c r="N55"/>
  <c r="O55"/>
  <c r="P55"/>
  <c r="Q55"/>
  <c r="S55"/>
  <c r="V55"/>
  <c r="A56"/>
  <c r="B56"/>
  <c r="C56"/>
  <c r="D56"/>
  <c r="E56"/>
  <c r="F56"/>
  <c r="G56"/>
  <c r="H56"/>
  <c r="I56"/>
  <c r="J56"/>
  <c r="K56"/>
  <c r="L56"/>
  <c r="N56"/>
  <c r="O56"/>
  <c r="P56"/>
  <c r="Q56"/>
  <c r="S56"/>
  <c r="V56"/>
  <c r="A57"/>
  <c r="B57"/>
  <c r="C57"/>
  <c r="D57"/>
  <c r="E57"/>
  <c r="F57"/>
  <c r="G57"/>
  <c r="H57"/>
  <c r="I57"/>
  <c r="J57"/>
  <c r="K57"/>
  <c r="L57"/>
  <c r="N57"/>
  <c r="O57"/>
  <c r="P57"/>
  <c r="Q57"/>
  <c r="S57"/>
  <c r="V57"/>
  <c r="A58"/>
  <c r="B58"/>
  <c r="C58"/>
  <c r="D58"/>
  <c r="E58"/>
  <c r="F58"/>
  <c r="G58"/>
  <c r="H58"/>
  <c r="I58"/>
  <c r="J58"/>
  <c r="K58"/>
  <c r="L58"/>
  <c r="M58"/>
  <c r="N58"/>
  <c r="O58"/>
  <c r="P58"/>
  <c r="Q58"/>
  <c r="S58"/>
  <c r="V58"/>
  <c r="A59"/>
  <c r="B59"/>
  <c r="C59"/>
  <c r="D59"/>
  <c r="E59"/>
  <c r="F59"/>
  <c r="G59"/>
  <c r="H59"/>
  <c r="I59"/>
  <c r="J59"/>
  <c r="K59"/>
  <c r="L59"/>
  <c r="N59"/>
  <c r="O59"/>
  <c r="P59"/>
  <c r="Q59"/>
  <c r="R59"/>
  <c r="S59"/>
  <c r="V59"/>
  <c r="A60"/>
  <c r="B60"/>
  <c r="C60"/>
  <c r="D60"/>
  <c r="E60"/>
  <c r="F60"/>
  <c r="G60"/>
  <c r="H60"/>
  <c r="I60"/>
  <c r="J60"/>
  <c r="K60"/>
  <c r="L60"/>
  <c r="N60"/>
  <c r="O60"/>
  <c r="P60"/>
  <c r="Q60"/>
  <c r="S60"/>
  <c r="V60"/>
  <c r="A61"/>
  <c r="B61"/>
  <c r="C61"/>
  <c r="D61"/>
  <c r="E61"/>
  <c r="F61"/>
  <c r="G61"/>
  <c r="H61"/>
  <c r="I61"/>
  <c r="J61"/>
  <c r="K61"/>
  <c r="L61"/>
  <c r="N61"/>
  <c r="O61"/>
  <c r="P61"/>
  <c r="Q61"/>
  <c r="S61"/>
  <c r="V61"/>
  <c r="A62"/>
  <c r="B62"/>
  <c r="C62"/>
  <c r="D62"/>
  <c r="E62"/>
  <c r="F62"/>
  <c r="G62"/>
  <c r="H62"/>
  <c r="I62"/>
  <c r="J62"/>
  <c r="K62"/>
  <c r="L62"/>
  <c r="N62"/>
  <c r="O62"/>
  <c r="P62"/>
  <c r="Q62"/>
  <c r="S62"/>
  <c r="V62"/>
  <c r="A63"/>
  <c r="B63"/>
  <c r="C63"/>
  <c r="D63"/>
  <c r="E63"/>
  <c r="F63"/>
  <c r="G63"/>
  <c r="H63"/>
  <c r="I63"/>
  <c r="J63"/>
  <c r="K63"/>
  <c r="L63"/>
  <c r="N63"/>
  <c r="O63"/>
  <c r="P63"/>
  <c r="Q63"/>
  <c r="R63"/>
  <c r="S63"/>
  <c r="V63"/>
  <c r="A64"/>
  <c r="B64"/>
  <c r="C64"/>
  <c r="D64"/>
  <c r="E64"/>
  <c r="F64"/>
  <c r="G64"/>
  <c r="H64"/>
  <c r="I64"/>
  <c r="J64"/>
  <c r="K64"/>
  <c r="L64"/>
  <c r="N64"/>
  <c r="O64"/>
  <c r="P64"/>
  <c r="Q64"/>
  <c r="R64"/>
  <c r="S64"/>
  <c r="V64"/>
  <c r="A65"/>
  <c r="B65"/>
  <c r="C65"/>
  <c r="D65"/>
  <c r="E65"/>
  <c r="F65"/>
  <c r="G65"/>
  <c r="H65"/>
  <c r="I65"/>
  <c r="J65"/>
  <c r="K65"/>
  <c r="L65"/>
  <c r="N65"/>
  <c r="O65"/>
  <c r="P65"/>
  <c r="Q65"/>
  <c r="R65"/>
  <c r="S65"/>
  <c r="V65"/>
  <c r="A66"/>
  <c r="B66"/>
  <c r="C66"/>
  <c r="D66"/>
  <c r="E66"/>
  <c r="F66"/>
  <c r="G66"/>
  <c r="H66"/>
  <c r="I66"/>
  <c r="J66"/>
  <c r="K66"/>
  <c r="L66"/>
  <c r="N66"/>
  <c r="O66"/>
  <c r="P66"/>
  <c r="Q66"/>
  <c r="R66"/>
  <c r="S66"/>
  <c r="V66"/>
  <c r="A67"/>
  <c r="B67"/>
  <c r="C67"/>
  <c r="D67"/>
  <c r="E67"/>
  <c r="F67"/>
  <c r="G67"/>
  <c r="H67"/>
  <c r="I67"/>
  <c r="J67"/>
  <c r="K67"/>
  <c r="L67"/>
  <c r="N67"/>
  <c r="O67"/>
  <c r="P67"/>
  <c r="Q67"/>
  <c r="R67"/>
  <c r="S67"/>
  <c r="V67"/>
  <c r="A68"/>
  <c r="B68"/>
  <c r="C68"/>
  <c r="D68"/>
  <c r="E68"/>
  <c r="F68"/>
  <c r="G68"/>
  <c r="H68"/>
  <c r="I68"/>
  <c r="J68"/>
  <c r="K68"/>
  <c r="L68"/>
  <c r="N68"/>
  <c r="O68"/>
  <c r="P68"/>
  <c r="Q68"/>
  <c r="R68"/>
  <c r="S68"/>
  <c r="V68"/>
  <c r="A69"/>
  <c r="B69"/>
  <c r="C69"/>
  <c r="D69"/>
  <c r="E69"/>
  <c r="F69"/>
  <c r="G69"/>
  <c r="H69"/>
  <c r="I69"/>
  <c r="J69"/>
  <c r="K69"/>
  <c r="L69"/>
  <c r="N69"/>
  <c r="O69"/>
  <c r="P69"/>
  <c r="Q69"/>
  <c r="R69"/>
  <c r="S69"/>
  <c r="V69"/>
  <c r="A70"/>
  <c r="B70"/>
  <c r="C70"/>
  <c r="D70"/>
  <c r="E70"/>
  <c r="F70"/>
  <c r="G70"/>
  <c r="H70"/>
  <c r="I70"/>
  <c r="J70"/>
  <c r="K70"/>
  <c r="L70"/>
  <c r="N70"/>
  <c r="O70"/>
  <c r="P70"/>
  <c r="Q70"/>
  <c r="R70"/>
  <c r="S70"/>
  <c r="V70"/>
  <c r="A71"/>
  <c r="B71"/>
  <c r="C71"/>
  <c r="D71"/>
  <c r="E71"/>
  <c r="F71"/>
  <c r="G71"/>
  <c r="H71"/>
  <c r="I71"/>
  <c r="J71"/>
  <c r="K71"/>
  <c r="L71"/>
  <c r="N71"/>
  <c r="O71"/>
  <c r="P71"/>
  <c r="Q71"/>
  <c r="R71"/>
  <c r="S71"/>
  <c r="V71"/>
  <c r="A72"/>
  <c r="B72"/>
  <c r="C72"/>
  <c r="D72"/>
  <c r="E72"/>
  <c r="F72"/>
  <c r="G72"/>
  <c r="H72"/>
  <c r="I72"/>
  <c r="J72"/>
  <c r="K72"/>
  <c r="L72"/>
  <c r="N72"/>
  <c r="O72"/>
  <c r="P72"/>
  <c r="Q72"/>
  <c r="R72"/>
  <c r="S72"/>
  <c r="T72"/>
  <c r="V72"/>
  <c r="A73"/>
  <c r="B73"/>
  <c r="C73"/>
  <c r="D73"/>
  <c r="E73"/>
  <c r="F73"/>
  <c r="G73"/>
  <c r="H73"/>
  <c r="I73"/>
  <c r="J73"/>
  <c r="K73"/>
  <c r="L73"/>
  <c r="N73"/>
  <c r="O73"/>
  <c r="P73"/>
  <c r="Q73"/>
  <c r="R73"/>
  <c r="S73"/>
  <c r="V73"/>
  <c r="A74"/>
  <c r="B74"/>
  <c r="C74"/>
  <c r="D74"/>
  <c r="E74"/>
  <c r="F74"/>
  <c r="G74"/>
  <c r="H74"/>
  <c r="I74"/>
  <c r="J74"/>
  <c r="K74"/>
  <c r="L74"/>
  <c r="N74"/>
  <c r="O74"/>
  <c r="P74"/>
  <c r="Q74"/>
  <c r="R74"/>
  <c r="S74"/>
  <c r="V74"/>
  <c r="A75"/>
  <c r="B75"/>
  <c r="C75"/>
  <c r="D75"/>
  <c r="E75"/>
  <c r="F75"/>
  <c r="G75"/>
  <c r="H75"/>
  <c r="I75"/>
  <c r="J75"/>
  <c r="K75"/>
  <c r="L75"/>
  <c r="N75"/>
  <c r="O75"/>
  <c r="P75"/>
  <c r="Q75"/>
  <c r="R75"/>
  <c r="S75"/>
  <c r="V75"/>
  <c r="A76"/>
  <c r="B76"/>
  <c r="C76"/>
  <c r="D76"/>
  <c r="E76"/>
  <c r="F76"/>
  <c r="G76"/>
  <c r="H76"/>
  <c r="I76"/>
  <c r="J76"/>
  <c r="K76"/>
  <c r="L76"/>
  <c r="N76"/>
  <c r="O76"/>
  <c r="P76"/>
  <c r="Q76"/>
  <c r="R76"/>
  <c r="S76"/>
  <c r="V76"/>
  <c r="A77"/>
  <c r="B77"/>
  <c r="C77"/>
  <c r="D77"/>
  <c r="E77"/>
  <c r="F77"/>
  <c r="G77"/>
  <c r="H77"/>
  <c r="I77"/>
  <c r="J77"/>
  <c r="K77"/>
  <c r="L77"/>
  <c r="N77"/>
  <c r="O77"/>
  <c r="P77"/>
  <c r="Q77"/>
  <c r="R77"/>
  <c r="S77"/>
  <c r="V77"/>
  <c r="A78"/>
  <c r="B78"/>
  <c r="C78"/>
  <c r="D78"/>
  <c r="E78"/>
  <c r="F78"/>
  <c r="G78"/>
  <c r="H78"/>
  <c r="I78"/>
  <c r="J78"/>
  <c r="K78"/>
  <c r="L78"/>
  <c r="N78"/>
  <c r="O78"/>
  <c r="P78"/>
  <c r="Q78"/>
  <c r="R78"/>
  <c r="S78"/>
  <c r="V78"/>
  <c r="A79"/>
  <c r="B79"/>
  <c r="C79"/>
  <c r="D79"/>
  <c r="E79"/>
  <c r="F79"/>
  <c r="G79"/>
  <c r="H79"/>
  <c r="I79"/>
  <c r="J79"/>
  <c r="K79"/>
  <c r="L79"/>
  <c r="M79"/>
  <c r="N79"/>
  <c r="O79"/>
  <c r="P79"/>
  <c r="Q79"/>
  <c r="R79"/>
  <c r="S79"/>
  <c r="U79"/>
  <c r="V79"/>
  <c r="A80"/>
  <c r="B80"/>
  <c r="C80"/>
  <c r="D80"/>
  <c r="E80"/>
  <c r="F80"/>
  <c r="G80"/>
  <c r="H80"/>
  <c r="I80"/>
  <c r="J80"/>
  <c r="K80"/>
  <c r="L80"/>
  <c r="M80"/>
  <c r="N80"/>
  <c r="O80"/>
  <c r="P80"/>
  <c r="Q80"/>
  <c r="R80"/>
  <c r="S80"/>
  <c r="U80"/>
  <c r="V80"/>
  <c r="A81"/>
  <c r="B81"/>
  <c r="C81"/>
  <c r="D81"/>
  <c r="E81"/>
  <c r="F81"/>
  <c r="G81"/>
  <c r="H81"/>
  <c r="I81"/>
  <c r="J81"/>
  <c r="K81"/>
  <c r="L81"/>
  <c r="M81"/>
  <c r="N81"/>
  <c r="O81"/>
  <c r="P81"/>
  <c r="Q81"/>
  <c r="R81"/>
  <c r="S81"/>
  <c r="U81"/>
  <c r="V81"/>
  <c r="A82"/>
  <c r="B82"/>
  <c r="C82"/>
  <c r="D82"/>
  <c r="E82"/>
  <c r="F82"/>
  <c r="G82"/>
  <c r="H82"/>
  <c r="I82"/>
  <c r="J82"/>
  <c r="K82"/>
  <c r="L82"/>
  <c r="M82"/>
  <c r="N82"/>
  <c r="O82"/>
  <c r="P82"/>
  <c r="Q82"/>
  <c r="R82"/>
  <c r="S82"/>
  <c r="U82"/>
  <c r="V82"/>
  <c r="A83"/>
  <c r="B83"/>
  <c r="C83"/>
  <c r="D83"/>
  <c r="E83"/>
  <c r="F83"/>
  <c r="G83"/>
  <c r="H83"/>
  <c r="I83"/>
  <c r="J83"/>
  <c r="K83"/>
  <c r="L83"/>
  <c r="M83"/>
  <c r="N83"/>
  <c r="O83"/>
  <c r="P83"/>
  <c r="Q83"/>
  <c r="R83"/>
  <c r="S83"/>
  <c r="U83"/>
  <c r="V83"/>
  <c r="A84"/>
  <c r="B84"/>
  <c r="C84"/>
  <c r="D84"/>
  <c r="E84"/>
  <c r="F84"/>
  <c r="G84"/>
  <c r="H84"/>
  <c r="I84"/>
  <c r="J84"/>
  <c r="K84"/>
  <c r="L84"/>
  <c r="M84"/>
  <c r="N84"/>
  <c r="O84"/>
  <c r="P84"/>
  <c r="Q84"/>
  <c r="R84"/>
  <c r="S84"/>
  <c r="U84"/>
  <c r="V84"/>
  <c r="A85"/>
  <c r="B85"/>
  <c r="C85"/>
  <c r="D85"/>
  <c r="E85"/>
  <c r="F85"/>
  <c r="G85"/>
  <c r="H85"/>
  <c r="I85"/>
  <c r="J85"/>
  <c r="K85"/>
  <c r="L85"/>
  <c r="M85"/>
  <c r="N85"/>
  <c r="O85"/>
  <c r="P85"/>
  <c r="Q85"/>
  <c r="R85"/>
  <c r="S85"/>
  <c r="U85"/>
  <c r="V85"/>
  <c r="A86"/>
  <c r="B86"/>
  <c r="C86"/>
  <c r="D86"/>
  <c r="E86"/>
  <c r="F86"/>
  <c r="G86"/>
  <c r="H86"/>
  <c r="I86"/>
  <c r="J86"/>
  <c r="K86"/>
  <c r="L86"/>
  <c r="M86"/>
  <c r="N86"/>
  <c r="O86"/>
  <c r="P86"/>
  <c r="Q86"/>
  <c r="R86"/>
  <c r="S86"/>
  <c r="U86"/>
  <c r="V86"/>
  <c r="A87"/>
  <c r="B87"/>
  <c r="C87"/>
  <c r="D87"/>
  <c r="E87"/>
  <c r="F87"/>
  <c r="G87"/>
  <c r="H87"/>
  <c r="I87"/>
  <c r="J87"/>
  <c r="K87"/>
  <c r="L87"/>
  <c r="M87"/>
  <c r="N87"/>
  <c r="O87"/>
  <c r="P87"/>
  <c r="Q87"/>
  <c r="R87"/>
  <c r="S87"/>
  <c r="U87"/>
  <c r="V87"/>
  <c r="A88"/>
  <c r="B88"/>
  <c r="C88"/>
  <c r="D88"/>
  <c r="E88"/>
  <c r="F88"/>
  <c r="G88"/>
  <c r="H88"/>
  <c r="I88"/>
  <c r="J88"/>
  <c r="K88"/>
  <c r="L88"/>
  <c r="M88"/>
  <c r="N88"/>
  <c r="O88"/>
  <c r="P88"/>
  <c r="Q88"/>
  <c r="R88"/>
  <c r="S88"/>
  <c r="U88"/>
  <c r="V88"/>
  <c r="A89"/>
  <c r="B89"/>
  <c r="C89"/>
  <c r="D89"/>
  <c r="E89"/>
  <c r="F89"/>
  <c r="G89"/>
  <c r="H89"/>
  <c r="I89"/>
  <c r="J89"/>
  <c r="K89"/>
  <c r="L89"/>
  <c r="M89"/>
  <c r="N89"/>
  <c r="O89"/>
  <c r="P89"/>
  <c r="Q89"/>
  <c r="R89"/>
  <c r="S89"/>
  <c r="U89"/>
  <c r="V89"/>
  <c r="A90"/>
  <c r="B90"/>
  <c r="C90"/>
  <c r="D90"/>
  <c r="E90"/>
  <c r="F90"/>
  <c r="G90"/>
  <c r="H90"/>
  <c r="I90"/>
  <c r="J90"/>
  <c r="K90"/>
  <c r="L90"/>
  <c r="M90"/>
  <c r="N90"/>
  <c r="O90"/>
  <c r="P90"/>
  <c r="Q90"/>
  <c r="R90"/>
  <c r="S90"/>
  <c r="U90"/>
  <c r="V90"/>
  <c r="A91"/>
  <c r="B91"/>
  <c r="C91"/>
  <c r="D91"/>
  <c r="E91"/>
  <c r="F91"/>
  <c r="G91"/>
  <c r="H91"/>
  <c r="I91"/>
  <c r="J91"/>
  <c r="K91"/>
  <c r="L91"/>
  <c r="M91"/>
  <c r="N91"/>
  <c r="O91"/>
  <c r="P91"/>
  <c r="Q91"/>
  <c r="R91"/>
  <c r="S91"/>
  <c r="T91"/>
  <c r="U91"/>
  <c r="V91"/>
  <c r="A92"/>
  <c r="B92"/>
  <c r="C92"/>
  <c r="D92"/>
  <c r="E92"/>
  <c r="F92"/>
  <c r="G92"/>
  <c r="H92"/>
  <c r="I92"/>
  <c r="J92"/>
  <c r="K92"/>
  <c r="L92"/>
  <c r="M92"/>
  <c r="N92"/>
  <c r="O92"/>
  <c r="P92"/>
  <c r="Q92"/>
  <c r="R92"/>
  <c r="S92"/>
  <c r="T92"/>
  <c r="U92"/>
  <c r="V92"/>
  <c r="A93"/>
  <c r="B93"/>
  <c r="C93"/>
  <c r="D93"/>
  <c r="E93"/>
  <c r="F93"/>
  <c r="G93"/>
  <c r="H93"/>
  <c r="I93"/>
  <c r="J93"/>
  <c r="K93"/>
  <c r="L93"/>
  <c r="M93"/>
  <c r="N93"/>
  <c r="O93"/>
  <c r="P93"/>
  <c r="Q93"/>
  <c r="R93"/>
  <c r="S93"/>
  <c r="T93"/>
  <c r="U93"/>
  <c r="V93"/>
  <c r="A94"/>
  <c r="B94"/>
  <c r="C94"/>
  <c r="D94"/>
  <c r="E94"/>
  <c r="F94"/>
  <c r="G94"/>
  <c r="H94"/>
  <c r="I94"/>
  <c r="J94"/>
  <c r="K94"/>
  <c r="L94"/>
  <c r="M94"/>
  <c r="N94"/>
  <c r="O94"/>
  <c r="P94"/>
  <c r="Q94"/>
  <c r="R94"/>
  <c r="S94"/>
  <c r="T94"/>
  <c r="U94"/>
  <c r="V94"/>
  <c r="A95"/>
  <c r="B95"/>
  <c r="C95"/>
  <c r="D95"/>
  <c r="E95"/>
  <c r="F95"/>
  <c r="G95"/>
  <c r="H95"/>
  <c r="I95"/>
  <c r="J95"/>
  <c r="K95"/>
  <c r="L95"/>
  <c r="M95"/>
  <c r="N95"/>
  <c r="O95"/>
  <c r="P95"/>
  <c r="Q95"/>
  <c r="R95"/>
  <c r="S95"/>
  <c r="T95"/>
  <c r="U95"/>
  <c r="V95"/>
  <c r="A96"/>
  <c r="B96"/>
  <c r="C96"/>
  <c r="D96"/>
  <c r="E96"/>
  <c r="F96"/>
  <c r="G96"/>
  <c r="H96"/>
  <c r="I96"/>
  <c r="J96"/>
  <c r="K96"/>
  <c r="L96"/>
  <c r="M96"/>
  <c r="N96"/>
  <c r="O96"/>
  <c r="P96"/>
  <c r="Q96"/>
  <c r="R96"/>
  <c r="S96"/>
  <c r="T96"/>
  <c r="U96"/>
  <c r="V96"/>
  <c r="A97"/>
  <c r="B97"/>
  <c r="C97"/>
  <c r="D97"/>
  <c r="E97"/>
  <c r="F97"/>
  <c r="G97"/>
  <c r="H97"/>
  <c r="I97"/>
  <c r="J97"/>
  <c r="K97"/>
  <c r="L97"/>
  <c r="M97"/>
  <c r="N97"/>
  <c r="O97"/>
  <c r="P97"/>
  <c r="Q97"/>
  <c r="R97"/>
  <c r="S97"/>
  <c r="T97"/>
  <c r="U97"/>
  <c r="V97"/>
  <c r="A98"/>
  <c r="B98"/>
  <c r="C98"/>
  <c r="D98"/>
  <c r="E98"/>
  <c r="F98"/>
  <c r="G98"/>
  <c r="H98"/>
  <c r="I98"/>
  <c r="J98"/>
  <c r="K98"/>
  <c r="L98"/>
  <c r="M98"/>
  <c r="N98"/>
  <c r="O98"/>
  <c r="P98"/>
  <c r="Q98"/>
  <c r="R98"/>
  <c r="S98"/>
  <c r="T98"/>
  <c r="U98"/>
  <c r="V98"/>
  <c r="A99"/>
  <c r="B99"/>
  <c r="C99"/>
  <c r="D99"/>
  <c r="E99"/>
  <c r="F99"/>
  <c r="G99"/>
  <c r="H99"/>
  <c r="I99"/>
  <c r="J99"/>
  <c r="K99"/>
  <c r="L99"/>
  <c r="M99"/>
  <c r="N99"/>
  <c r="O99"/>
  <c r="P99"/>
  <c r="Q99"/>
  <c r="R99"/>
  <c r="S99"/>
  <c r="T99"/>
  <c r="U99"/>
  <c r="V99"/>
  <c r="A100"/>
  <c r="B100"/>
  <c r="C100"/>
  <c r="D100"/>
  <c r="E100"/>
  <c r="F100"/>
  <c r="G100"/>
  <c r="H100"/>
  <c r="I100"/>
  <c r="J100"/>
  <c r="K100"/>
  <c r="L100"/>
  <c r="M100"/>
  <c r="N100"/>
  <c r="O100"/>
  <c r="P100"/>
  <c r="Q100"/>
  <c r="R100"/>
  <c r="S100"/>
  <c r="T100"/>
  <c r="U100"/>
  <c r="V100"/>
  <c r="A101"/>
  <c r="B101"/>
  <c r="C101"/>
  <c r="D101"/>
  <c r="E101"/>
  <c r="F101"/>
  <c r="G101"/>
  <c r="H101"/>
  <c r="I101"/>
  <c r="J101"/>
  <c r="K101"/>
  <c r="L101"/>
  <c r="M101"/>
  <c r="N101"/>
  <c r="O101"/>
  <c r="P101"/>
  <c r="Q101"/>
  <c r="R101"/>
  <c r="S101"/>
  <c r="T101"/>
  <c r="U101"/>
  <c r="V101"/>
  <c r="A102"/>
  <c r="B102"/>
  <c r="C102"/>
  <c r="D102"/>
  <c r="E102"/>
  <c r="F102"/>
  <c r="G102"/>
  <c r="H102"/>
  <c r="I102"/>
  <c r="J102"/>
  <c r="K102"/>
  <c r="L102"/>
  <c r="M102"/>
  <c r="N102"/>
  <c r="O102"/>
  <c r="P102"/>
  <c r="Q102"/>
  <c r="R102"/>
  <c r="S102"/>
  <c r="T102"/>
  <c r="U102"/>
  <c r="V102"/>
  <c r="A103"/>
  <c r="B103"/>
  <c r="C103"/>
  <c r="D103"/>
  <c r="E103"/>
  <c r="F103"/>
  <c r="G103"/>
  <c r="H103"/>
  <c r="I103"/>
  <c r="J103"/>
  <c r="K103"/>
  <c r="L103"/>
  <c r="M103"/>
  <c r="N103"/>
  <c r="O103"/>
  <c r="P103"/>
  <c r="Q103"/>
  <c r="R103"/>
  <c r="S103"/>
  <c r="T103"/>
  <c r="U103"/>
  <c r="V103"/>
  <c r="A104"/>
  <c r="B104"/>
  <c r="C104"/>
  <c r="D104"/>
  <c r="E104"/>
  <c r="F104"/>
  <c r="G104"/>
  <c r="H104"/>
  <c r="I104"/>
  <c r="J104"/>
  <c r="K104"/>
  <c r="L104"/>
  <c r="M104"/>
  <c r="N104"/>
  <c r="O104"/>
  <c r="P104"/>
  <c r="Q104"/>
  <c r="R104"/>
  <c r="S104"/>
  <c r="T104"/>
  <c r="U104"/>
  <c r="V104"/>
  <c r="A105"/>
  <c r="B105"/>
  <c r="C105"/>
  <c r="D105"/>
  <c r="E105"/>
  <c r="F105"/>
  <c r="G105"/>
  <c r="H105"/>
  <c r="I105"/>
  <c r="J105"/>
  <c r="K105"/>
  <c r="L105"/>
  <c r="M105"/>
  <c r="N105"/>
  <c r="O105"/>
  <c r="P105"/>
  <c r="Q105"/>
  <c r="R105"/>
  <c r="S105"/>
  <c r="T105"/>
  <c r="U105"/>
  <c r="V105"/>
  <c r="A106"/>
  <c r="B106"/>
  <c r="C106"/>
  <c r="D106"/>
  <c r="E106"/>
  <c r="F106"/>
  <c r="G106"/>
  <c r="H106"/>
  <c r="I106"/>
  <c r="J106"/>
  <c r="K106"/>
  <c r="L106"/>
  <c r="M106"/>
  <c r="N106"/>
  <c r="O106"/>
  <c r="P106"/>
  <c r="Q106"/>
  <c r="R106"/>
  <c r="S106"/>
  <c r="T106"/>
  <c r="U106"/>
  <c r="V106"/>
  <c r="A107"/>
  <c r="B107"/>
  <c r="C107"/>
  <c r="D107"/>
  <c r="E107"/>
  <c r="F107"/>
  <c r="G107"/>
  <c r="H107"/>
  <c r="I107"/>
  <c r="J107"/>
  <c r="K107"/>
  <c r="L107"/>
  <c r="M107"/>
  <c r="N107"/>
  <c r="O107"/>
  <c r="P107"/>
  <c r="Q107"/>
  <c r="R107"/>
  <c r="S107"/>
  <c r="T107"/>
  <c r="U107"/>
  <c r="V107"/>
  <c r="A108"/>
  <c r="B108"/>
  <c r="C108"/>
  <c r="D108"/>
  <c r="E108"/>
  <c r="F108"/>
  <c r="G108"/>
  <c r="H108"/>
  <c r="I108"/>
  <c r="J108"/>
  <c r="K108"/>
  <c r="L108"/>
  <c r="M108"/>
  <c r="N108"/>
  <c r="O108"/>
  <c r="P108"/>
  <c r="Q108"/>
  <c r="R108"/>
  <c r="S108"/>
  <c r="T108"/>
  <c r="U108"/>
  <c r="V108"/>
  <c r="A109"/>
  <c r="B109"/>
  <c r="C109"/>
  <c r="D109"/>
  <c r="E109"/>
  <c r="F109"/>
  <c r="G109"/>
  <c r="H109"/>
  <c r="I109"/>
  <c r="J109"/>
  <c r="K109"/>
  <c r="L109"/>
  <c r="M109"/>
  <c r="N109"/>
  <c r="O109"/>
  <c r="P109"/>
  <c r="Q109"/>
  <c r="R109"/>
  <c r="S109"/>
  <c r="T109"/>
  <c r="U109"/>
  <c r="V109"/>
  <c r="A110"/>
  <c r="B110"/>
  <c r="C110"/>
  <c r="D110"/>
  <c r="E110"/>
  <c r="F110"/>
  <c r="G110"/>
  <c r="H110"/>
  <c r="I110"/>
  <c r="J110"/>
  <c r="K110"/>
  <c r="L110"/>
  <c r="M110"/>
  <c r="N110"/>
  <c r="O110"/>
  <c r="P110"/>
  <c r="Q110"/>
  <c r="R110"/>
  <c r="S110"/>
  <c r="T110"/>
  <c r="U110"/>
  <c r="V110"/>
  <c r="A111"/>
  <c r="B111"/>
  <c r="C111"/>
  <c r="D111"/>
  <c r="E111"/>
  <c r="F111"/>
  <c r="G111"/>
  <c r="H111"/>
  <c r="I111"/>
  <c r="J111"/>
  <c r="K111"/>
  <c r="L111"/>
  <c r="M111"/>
  <c r="N111"/>
  <c r="O111"/>
  <c r="P111"/>
  <c r="Q111"/>
  <c r="R111"/>
  <c r="S111"/>
  <c r="T111"/>
  <c r="U111"/>
  <c r="V111"/>
  <c r="A112"/>
  <c r="B112"/>
  <c r="C112"/>
  <c r="D112"/>
  <c r="E112"/>
  <c r="F112"/>
  <c r="G112"/>
  <c r="H112"/>
  <c r="I112"/>
  <c r="J112"/>
  <c r="K112"/>
  <c r="L112"/>
  <c r="M112"/>
  <c r="N112"/>
  <c r="O112"/>
  <c r="P112"/>
  <c r="Q112"/>
  <c r="R112"/>
  <c r="S112"/>
  <c r="T112"/>
  <c r="U112"/>
  <c r="V112"/>
  <c r="B8"/>
  <c r="C8"/>
  <c r="D8"/>
  <c r="E8"/>
  <c r="F8"/>
  <c r="G8"/>
  <c r="H8"/>
  <c r="I8"/>
  <c r="J8"/>
  <c r="K8"/>
  <c r="L8"/>
  <c r="N8"/>
  <c r="O8"/>
  <c r="P8"/>
  <c r="Q8"/>
  <c r="R8"/>
  <c r="S8"/>
  <c r="V8"/>
  <c r="T12" i="1"/>
  <c r="T9" i="2" s="1"/>
  <c r="T33" i="1"/>
  <c r="T10" i="2" s="1"/>
  <c r="T34" i="1"/>
  <c r="T11" i="2" s="1"/>
  <c r="T35" i="1"/>
  <c r="T12" i="2" s="1"/>
  <c r="T36" i="1"/>
  <c r="T13" i="2" s="1"/>
  <c r="T37" i="1"/>
  <c r="T14" i="2" s="1"/>
  <c r="T38" i="1"/>
  <c r="T15" i="2" s="1"/>
  <c r="T39" i="1"/>
  <c r="T16" i="2" s="1"/>
  <c r="T40" i="1"/>
  <c r="T17" i="2" s="1"/>
  <c r="T41" i="1"/>
  <c r="T18" i="2" s="1"/>
  <c r="T42" i="1"/>
  <c r="T19" i="2" s="1"/>
  <c r="T13" i="1"/>
  <c r="T20" i="2" s="1"/>
  <c r="T19" i="1"/>
  <c r="T21" i="2" s="1"/>
  <c r="T43" i="1"/>
  <c r="T22" i="2" s="1"/>
  <c r="T20" i="1"/>
  <c r="T23" i="2" s="1"/>
  <c r="T44" i="1"/>
  <c r="T24" i="2" s="1"/>
  <c r="T21" i="1"/>
  <c r="T25" i="2" s="1"/>
  <c r="T14" i="1"/>
  <c r="T26" i="2" s="1"/>
  <c r="T15" i="1"/>
  <c r="T27" i="2" s="1"/>
  <c r="T22" i="1"/>
  <c r="T28" i="2" s="1"/>
  <c r="T45" i="1"/>
  <c r="T29" i="2" s="1"/>
  <c r="T16" i="1"/>
  <c r="T30" i="2" s="1"/>
  <c r="T46" i="1"/>
  <c r="T31" i="2" s="1"/>
  <c r="T8" i="1"/>
  <c r="T32" i="2" s="1"/>
  <c r="T47" i="1"/>
  <c r="T33" i="2" s="1"/>
  <c r="T9" i="1"/>
  <c r="T34" i="2" s="1"/>
  <c r="T48" i="1"/>
  <c r="T35" i="2" s="1"/>
  <c r="T10" i="1"/>
  <c r="T36" i="2" s="1"/>
  <c r="T17" i="1"/>
  <c r="T37" i="2" s="1"/>
  <c r="T23" i="1"/>
  <c r="T38" i="2" s="1"/>
  <c r="T49" i="1"/>
  <c r="T39" i="2" s="1"/>
  <c r="T11" i="1"/>
  <c r="T40" i="2" s="1"/>
  <c r="T50" i="1"/>
  <c r="T41" i="2" s="1"/>
  <c r="T51" i="1"/>
  <c r="T42" i="2" s="1"/>
  <c r="T24" i="1"/>
  <c r="T43" i="2" s="1"/>
  <c r="T52" i="1"/>
  <c r="T44" i="2" s="1"/>
  <c r="T53" i="1"/>
  <c r="T45" i="2" s="1"/>
  <c r="T25" i="1"/>
  <c r="U25" s="1"/>
  <c r="T54"/>
  <c r="T47" i="2" s="1"/>
  <c r="T26" i="1"/>
  <c r="T48" i="2" s="1"/>
  <c r="T27" i="1"/>
  <c r="T49" i="2" s="1"/>
  <c r="T28" i="1"/>
  <c r="T50" i="2" s="1"/>
  <c r="T55" i="1"/>
  <c r="T51" i="2" s="1"/>
  <c r="T56" i="1"/>
  <c r="T52" i="2" s="1"/>
  <c r="T57" i="1"/>
  <c r="T53" i="2" s="1"/>
  <c r="T29" i="1"/>
  <c r="T54" i="2" s="1"/>
  <c r="T30" i="1"/>
  <c r="T55" i="2" s="1"/>
  <c r="T58" i="1"/>
  <c r="T56" i="2" s="1"/>
  <c r="T59" i="1"/>
  <c r="T57" i="2" s="1"/>
  <c r="T31" i="1"/>
  <c r="T58" i="2" s="1"/>
  <c r="T60" i="1"/>
  <c r="T59" i="2" s="1"/>
  <c r="T18" i="1"/>
  <c r="T60" i="2" s="1"/>
  <c r="T62" i="1"/>
  <c r="T61" i="2" s="1"/>
  <c r="T63" i="1"/>
  <c r="T62" i="2" s="1"/>
  <c r="U76" i="1"/>
  <c r="U77"/>
  <c r="U78"/>
  <c r="U79"/>
  <c r="U80"/>
  <c r="U81"/>
  <c r="U82"/>
  <c r="U83"/>
  <c r="U84"/>
  <c r="U85"/>
  <c r="U86"/>
  <c r="U87"/>
  <c r="U91"/>
  <c r="T79" i="2"/>
  <c r="T80"/>
  <c r="T81"/>
  <c r="T82"/>
  <c r="T83"/>
  <c r="T84"/>
  <c r="T85"/>
  <c r="T86"/>
  <c r="T87"/>
  <c r="T88"/>
  <c r="T89"/>
  <c r="T90"/>
  <c r="U12" i="1" l="1"/>
  <c r="U33"/>
  <c r="U10" i="2" s="1"/>
  <c r="U34" i="1"/>
  <c r="U11" i="2" s="1"/>
  <c r="M49"/>
  <c r="U46" i="1"/>
  <c r="M47" i="2"/>
  <c r="U20" i="1"/>
  <c r="M34"/>
  <c r="M55" i="2"/>
  <c r="M39"/>
  <c r="M23"/>
  <c r="U56" i="1"/>
  <c r="U57"/>
  <c r="M63" i="2"/>
  <c r="M31"/>
  <c r="M15"/>
  <c r="M21"/>
  <c r="U18" i="1"/>
  <c r="M59" i="2"/>
  <c r="M43"/>
  <c r="M27"/>
  <c r="M78"/>
  <c r="M60"/>
  <c r="M44"/>
  <c r="M28"/>
  <c r="M12"/>
  <c r="M61"/>
  <c r="M45"/>
  <c r="M37"/>
  <c r="M29"/>
  <c r="M13"/>
  <c r="M62"/>
  <c r="M54"/>
  <c r="M46"/>
  <c r="M38"/>
  <c r="M30"/>
  <c r="M22"/>
  <c r="M14"/>
  <c r="M75"/>
  <c r="M74"/>
  <c r="U22" i="1"/>
  <c r="U28" i="2" s="1"/>
  <c r="M69"/>
  <c r="M64"/>
  <c r="M56"/>
  <c r="M48"/>
  <c r="M40"/>
  <c r="M32"/>
  <c r="M24"/>
  <c r="M16"/>
  <c r="M73"/>
  <c r="M67"/>
  <c r="M51"/>
  <c r="M35"/>
  <c r="M19"/>
  <c r="M8"/>
  <c r="M52"/>
  <c r="M36"/>
  <c r="M20"/>
  <c r="M77"/>
  <c r="M53"/>
  <c r="M76"/>
  <c r="M65"/>
  <c r="M57"/>
  <c r="M41"/>
  <c r="M33"/>
  <c r="M25"/>
  <c r="M17"/>
  <c r="M72"/>
  <c r="U47" i="1"/>
  <c r="M70" i="2"/>
  <c r="M66"/>
  <c r="M50"/>
  <c r="M42"/>
  <c r="M26"/>
  <c r="M18"/>
  <c r="M10"/>
  <c r="M71"/>
  <c r="U10" i="1"/>
  <c r="M68" i="2"/>
  <c r="U43" i="1"/>
  <c r="U39"/>
  <c r="U51"/>
  <c r="U42" i="2" s="1"/>
  <c r="U13" i="1"/>
  <c r="U52"/>
  <c r="U8"/>
  <c r="U32" i="2" s="1"/>
  <c r="U29" i="1"/>
  <c r="U44"/>
  <c r="U37"/>
  <c r="U30"/>
  <c r="U49"/>
  <c r="U21"/>
  <c r="U38"/>
  <c r="T46" i="2"/>
  <c r="U60" i="1"/>
  <c r="U40"/>
  <c r="U15"/>
  <c r="U24"/>
  <c r="U16"/>
  <c r="U42"/>
  <c r="U55"/>
  <c r="U51" i="2" s="1"/>
  <c r="U72"/>
  <c r="T63"/>
  <c r="U53" i="1"/>
  <c r="U48"/>
  <c r="U14"/>
  <c r="U41"/>
  <c r="T71" i="2"/>
  <c r="T69"/>
  <c r="U62" i="1"/>
  <c r="U63"/>
  <c r="U17"/>
  <c r="U69" i="2"/>
  <c r="U23" i="1"/>
  <c r="U45"/>
  <c r="U19"/>
  <c r="U36"/>
  <c r="U33" i="2"/>
  <c r="T75"/>
  <c r="U88" i="1"/>
  <c r="T66" i="2"/>
  <c r="T74"/>
  <c r="T68"/>
  <c r="T65"/>
  <c r="U58" i="1"/>
  <c r="U26"/>
  <c r="T78" i="2"/>
  <c r="U74"/>
  <c r="U71"/>
  <c r="U68"/>
  <c r="U65"/>
  <c r="U63"/>
  <c r="U46"/>
  <c r="T77"/>
  <c r="U90" i="1"/>
  <c r="T76" i="2"/>
  <c r="U89" i="1"/>
  <c r="U23" i="2"/>
  <c r="U66"/>
  <c r="U35" i="1"/>
  <c r="U59"/>
  <c r="U27"/>
  <c r="U11"/>
  <c r="U78" i="2"/>
  <c r="T70"/>
  <c r="T67"/>
  <c r="U8"/>
  <c r="U31" i="1"/>
  <c r="U28"/>
  <c r="U50"/>
  <c r="U41" i="2" s="1"/>
  <c r="T73"/>
  <c r="U70"/>
  <c r="U67"/>
  <c r="U73"/>
  <c r="T64"/>
  <c r="U64"/>
  <c r="U54" i="1"/>
  <c r="U9"/>
  <c r="T8" i="2"/>
  <c r="C9" i="7"/>
  <c r="S9"/>
  <c r="C10"/>
  <c r="S10"/>
  <c r="C11"/>
  <c r="S11"/>
  <c r="C12"/>
  <c r="S12"/>
  <c r="C13"/>
  <c r="S13"/>
  <c r="C14"/>
  <c r="S14"/>
  <c r="V14"/>
  <c r="C15"/>
  <c r="S15"/>
  <c r="C16"/>
  <c r="S16"/>
  <c r="V16"/>
  <c r="C17"/>
  <c r="S17"/>
  <c r="C18"/>
  <c r="S18"/>
  <c r="V18"/>
  <c r="C19"/>
  <c r="S19"/>
  <c r="C20"/>
  <c r="S20"/>
  <c r="V20"/>
  <c r="C21"/>
  <c r="S21"/>
  <c r="C22"/>
  <c r="S22"/>
  <c r="V22"/>
  <c r="C23"/>
  <c r="S23"/>
  <c r="C24"/>
  <c r="S24"/>
  <c r="V24"/>
  <c r="C25"/>
  <c r="S25"/>
  <c r="C26"/>
  <c r="S26"/>
  <c r="C27"/>
  <c r="S27"/>
  <c r="C28"/>
  <c r="S28"/>
  <c r="V28"/>
  <c r="C29"/>
  <c r="S29"/>
  <c r="C30"/>
  <c r="S30"/>
  <c r="C31"/>
  <c r="S31"/>
  <c r="C32"/>
  <c r="S32"/>
  <c r="C33"/>
  <c r="S33"/>
  <c r="V33"/>
  <c r="C34"/>
  <c r="S34"/>
  <c r="C35"/>
  <c r="S35"/>
  <c r="V35"/>
  <c r="C36"/>
  <c r="S36"/>
  <c r="C37"/>
  <c r="S37"/>
  <c r="C38"/>
  <c r="S38"/>
  <c r="C39"/>
  <c r="S39"/>
  <c r="V39"/>
  <c r="C40"/>
  <c r="S40"/>
  <c r="C41"/>
  <c r="S41"/>
  <c r="V41"/>
  <c r="C42"/>
  <c r="S42"/>
  <c r="C43"/>
  <c r="S43"/>
  <c r="C44"/>
  <c r="S44"/>
  <c r="V44"/>
  <c r="C45"/>
  <c r="S45"/>
  <c r="V45"/>
  <c r="C46"/>
  <c r="S46"/>
  <c r="V46"/>
  <c r="C47"/>
  <c r="S47"/>
  <c r="C48"/>
  <c r="S48"/>
  <c r="V48"/>
  <c r="C49"/>
  <c r="S49"/>
  <c r="C50"/>
  <c r="S50"/>
  <c r="C51"/>
  <c r="S51"/>
  <c r="C52"/>
  <c r="S52"/>
  <c r="V52"/>
  <c r="C53"/>
  <c r="S53"/>
  <c r="C54"/>
  <c r="S54"/>
  <c r="V54"/>
  <c r="C55"/>
  <c r="S55"/>
  <c r="C56"/>
  <c r="S56"/>
  <c r="C57"/>
  <c r="S57"/>
  <c r="C58"/>
  <c r="S58"/>
  <c r="C59"/>
  <c r="S59"/>
  <c r="C60"/>
  <c r="S60"/>
  <c r="C61"/>
  <c r="S61"/>
  <c r="C62"/>
  <c r="S62"/>
  <c r="C63"/>
  <c r="S63"/>
  <c r="C64"/>
  <c r="S64"/>
  <c r="C65"/>
  <c r="S65"/>
  <c r="C66"/>
  <c r="S66"/>
  <c r="C67"/>
  <c r="S67"/>
  <c r="V67"/>
  <c r="C68"/>
  <c r="S68"/>
  <c r="C69"/>
  <c r="S69"/>
  <c r="V69"/>
  <c r="C70"/>
  <c r="S70"/>
  <c r="C71"/>
  <c r="S71"/>
  <c r="V71"/>
  <c r="C72"/>
  <c r="S72"/>
  <c r="C73"/>
  <c r="S73"/>
  <c r="V73"/>
  <c r="C74"/>
  <c r="S74"/>
  <c r="C75"/>
  <c r="S75"/>
  <c r="C76"/>
  <c r="S76"/>
  <c r="C77"/>
  <c r="S77"/>
  <c r="C78"/>
  <c r="S78"/>
  <c r="C79"/>
  <c r="S79"/>
  <c r="C80"/>
  <c r="S80"/>
  <c r="C81"/>
  <c r="S81"/>
  <c r="V81"/>
  <c r="C82"/>
  <c r="S82"/>
  <c r="C83"/>
  <c r="S83"/>
  <c r="C84"/>
  <c r="S84"/>
  <c r="C85"/>
  <c r="S85"/>
  <c r="V85"/>
  <c r="C86"/>
  <c r="S86"/>
  <c r="V86"/>
  <c r="C87"/>
  <c r="S87"/>
  <c r="V87"/>
  <c r="C8"/>
  <c r="S8"/>
  <c r="U9" i="2" l="1"/>
  <c r="U31"/>
  <c r="U36"/>
  <c r="U24"/>
  <c r="M11"/>
  <c r="U60"/>
  <c r="U13"/>
  <c r="U21"/>
  <c r="U17"/>
  <c r="U53"/>
  <c r="U52"/>
  <c r="U15"/>
  <c r="U19"/>
  <c r="U35"/>
  <c r="U39"/>
  <c r="U22"/>
  <c r="U29"/>
  <c r="U38"/>
  <c r="U16"/>
  <c r="U43"/>
  <c r="U25"/>
  <c r="U55"/>
  <c r="U20"/>
  <c r="U18"/>
  <c r="U44"/>
  <c r="U54"/>
  <c r="U62"/>
  <c r="U14"/>
  <c r="U30"/>
  <c r="U45"/>
  <c r="U27"/>
  <c r="U59"/>
  <c r="U37"/>
  <c r="U61"/>
  <c r="U26"/>
  <c r="U77"/>
  <c r="U56"/>
  <c r="U48"/>
  <c r="U40"/>
  <c r="U58"/>
  <c r="U12"/>
  <c r="U50"/>
  <c r="U57"/>
  <c r="U49"/>
  <c r="U76"/>
  <c r="U75"/>
  <c r="U47"/>
  <c r="U34"/>
  <c r="X42" i="5"/>
  <c r="R62" i="3" l="1"/>
  <c r="R62" i="5" s="1"/>
  <c r="R62" i="7" s="1"/>
  <c r="H55" i="3"/>
  <c r="G55"/>
  <c r="N81"/>
  <c r="N71"/>
  <c r="R44" l="1"/>
  <c r="R37"/>
  <c r="R37" i="5" s="1"/>
  <c r="R37" i="7" s="1"/>
  <c r="R35" i="3"/>
  <c r="R33"/>
  <c r="R31"/>
  <c r="V10" i="5"/>
  <c r="V10" i="7" s="1"/>
  <c r="V36" i="3"/>
  <c r="V36" i="5" s="1"/>
  <c r="V36" i="7" s="1"/>
  <c r="H55" i="5"/>
  <c r="H55" i="7" s="1"/>
  <c r="V58" i="3"/>
  <c r="V58" i="5" s="1"/>
  <c r="V58" i="7" s="1"/>
  <c r="V41" i="3"/>
  <c r="V42"/>
  <c r="V42" i="5" s="1"/>
  <c r="V42" i="7" s="1"/>
  <c r="V43" i="5"/>
  <c r="V43" i="7" s="1"/>
  <c r="V44" i="3"/>
  <c r="V45"/>
  <c r="V46"/>
  <c r="V47"/>
  <c r="V47" i="5" s="1"/>
  <c r="V47" i="7" s="1"/>
  <c r="V48" i="3"/>
  <c r="V49"/>
  <c r="V49" i="5" s="1"/>
  <c r="V49" i="7" s="1"/>
  <c r="V50" i="3"/>
  <c r="V50" i="5" s="1"/>
  <c r="V50" i="7" s="1"/>
  <c r="V51" i="3"/>
  <c r="V51" i="5" s="1"/>
  <c r="V51" i="7" s="1"/>
  <c r="V52" i="3"/>
  <c r="V53"/>
  <c r="V53" i="5" s="1"/>
  <c r="V53" i="7" s="1"/>
  <c r="V54" i="3"/>
  <c r="V55"/>
  <c r="V55" i="5" s="1"/>
  <c r="V55" i="7" s="1"/>
  <c r="V56" i="3"/>
  <c r="V56" i="5" s="1"/>
  <c r="V56" i="7" s="1"/>
  <c r="V57" i="5"/>
  <c r="V57" i="7" s="1"/>
  <c r="V59" i="3"/>
  <c r="V59" i="5" s="1"/>
  <c r="V59" i="7" s="1"/>
  <c r="V60" i="3"/>
  <c r="V60" i="5" s="1"/>
  <c r="V60" i="7" s="1"/>
  <c r="V61" i="3"/>
  <c r="V61" i="5" s="1"/>
  <c r="V61" i="7" s="1"/>
  <c r="V62" i="3"/>
  <c r="V62" i="5" s="1"/>
  <c r="V62" i="7" s="1"/>
  <c r="V63" i="3"/>
  <c r="V63" i="5" s="1"/>
  <c r="V63" i="7" s="1"/>
  <c r="V64" i="3"/>
  <c r="V64" i="5" s="1"/>
  <c r="V64" i="7" s="1"/>
  <c r="V65" i="3"/>
  <c r="V65" i="5" s="1"/>
  <c r="V65" i="7" s="1"/>
  <c r="V66" i="3"/>
  <c r="V66" i="5" s="1"/>
  <c r="V66" i="7" s="1"/>
  <c r="V67" i="3"/>
  <c r="V68"/>
  <c r="V68" i="5" s="1"/>
  <c r="V68" i="7" s="1"/>
  <c r="V69" i="3"/>
  <c r="V70"/>
  <c r="V70" i="5" s="1"/>
  <c r="V70" i="7" s="1"/>
  <c r="V71" i="3"/>
  <c r="V72"/>
  <c r="V72" i="5" s="1"/>
  <c r="V72" i="7" s="1"/>
  <c r="V73" i="3"/>
  <c r="V74"/>
  <c r="V74" i="5" s="1"/>
  <c r="V74" i="7" s="1"/>
  <c r="V75" i="3"/>
  <c r="V75" i="5" s="1"/>
  <c r="V75" i="7" s="1"/>
  <c r="V76" i="3"/>
  <c r="V76" i="5" s="1"/>
  <c r="V76" i="7" s="1"/>
  <c r="V77" i="3"/>
  <c r="V77" i="5" s="1"/>
  <c r="V77" i="7" s="1"/>
  <c r="V78" i="3"/>
  <c r="V78" i="5" s="1"/>
  <c r="V78" i="7" s="1"/>
  <c r="V79" i="3"/>
  <c r="V79" i="5" s="1"/>
  <c r="V79" i="7" s="1"/>
  <c r="V80" i="3"/>
  <c r="V80" i="5" s="1"/>
  <c r="V81" i="3"/>
  <c r="V82"/>
  <c r="V82" i="5" s="1"/>
  <c r="V82" i="7" s="1"/>
  <c r="V83" i="3"/>
  <c r="V83" i="5" s="1"/>
  <c r="V83" i="7" s="1"/>
  <c r="V84" i="3"/>
  <c r="V84" i="5" s="1"/>
  <c r="V84" i="7" s="1"/>
  <c r="V85" i="3"/>
  <c r="V86"/>
  <c r="V87"/>
  <c r="V40"/>
  <c r="V40" i="5" s="1"/>
  <c r="V40" i="7" s="1"/>
  <c r="A32" i="3"/>
  <c r="A32" i="5" s="1"/>
  <c r="A32" i="7" s="1"/>
  <c r="B32" i="3"/>
  <c r="B32" i="5" s="1"/>
  <c r="B32" i="7" s="1"/>
  <c r="C32" i="3"/>
  <c r="D32"/>
  <c r="D32" i="5" s="1"/>
  <c r="D32" i="7" s="1"/>
  <c r="E32" i="3"/>
  <c r="E32" i="5" s="1"/>
  <c r="E32" i="7" s="1"/>
  <c r="F32" i="3"/>
  <c r="F32" i="5" s="1"/>
  <c r="F32" i="7" s="1"/>
  <c r="G32" i="3"/>
  <c r="G32" i="5" s="1"/>
  <c r="G32" i="7" s="1"/>
  <c r="H32" i="3"/>
  <c r="H32" i="5" s="1"/>
  <c r="H32" i="7" s="1"/>
  <c r="I32" i="3"/>
  <c r="I32" i="5" s="1"/>
  <c r="I32" i="7" s="1"/>
  <c r="J32" i="3"/>
  <c r="J32" i="5" s="1"/>
  <c r="J32" i="7" s="1"/>
  <c r="K32" i="3"/>
  <c r="L32"/>
  <c r="L32" i="5" s="1"/>
  <c r="L32" i="7" s="1"/>
  <c r="N32" i="3"/>
  <c r="N32" i="5" s="1"/>
  <c r="N32" i="7" s="1"/>
  <c r="O32" i="3"/>
  <c r="O32" i="5" s="1"/>
  <c r="O32" i="7" s="1"/>
  <c r="P32" i="3"/>
  <c r="P32" i="5" s="1"/>
  <c r="Q32" i="3"/>
  <c r="Q32" i="5" s="1"/>
  <c r="Q32" i="7" s="1"/>
  <c r="V32" i="3"/>
  <c r="V32" i="5" s="1"/>
  <c r="V32" i="7" s="1"/>
  <c r="M32" i="3" l="1"/>
  <c r="K32" i="5"/>
  <c r="R32" i="3"/>
  <c r="R32" i="5" s="1"/>
  <c r="R32" i="7" s="1"/>
  <c r="R87" i="3"/>
  <c r="R87" i="5" s="1"/>
  <c r="R87" i="7" s="1"/>
  <c r="R84" i="3"/>
  <c r="R84" i="5" s="1"/>
  <c r="R84" i="7" s="1"/>
  <c r="O81" i="3"/>
  <c r="O81" i="5" s="1"/>
  <c r="O81" i="7" s="1"/>
  <c r="N81" i="5"/>
  <c r="N81" i="7" s="1"/>
  <c r="O80" i="3"/>
  <c r="O80" i="5" s="1"/>
  <c r="O80" i="7" s="1"/>
  <c r="O75" i="3"/>
  <c r="O75" i="5" s="1"/>
  <c r="O75" i="7" s="1"/>
  <c r="N75" i="3"/>
  <c r="N75" i="5" s="1"/>
  <c r="N75" i="7" s="1"/>
  <c r="R74" i="3"/>
  <c r="R74" i="5" s="1"/>
  <c r="R74" i="7" s="1"/>
  <c r="O74" i="3"/>
  <c r="O74" i="5" s="1"/>
  <c r="O74" i="7" s="1"/>
  <c r="N74" i="3"/>
  <c r="N74" i="5" s="1"/>
  <c r="N74" i="7" s="1"/>
  <c r="I74" i="3"/>
  <c r="I74" i="5" s="1"/>
  <c r="I74" i="7" s="1"/>
  <c r="R73" i="3"/>
  <c r="R73" i="5" s="1"/>
  <c r="R73" i="7" s="1"/>
  <c r="O73" i="3"/>
  <c r="O73" i="5" s="1"/>
  <c r="O73" i="7" s="1"/>
  <c r="N73" i="3"/>
  <c r="N73" i="5" s="1"/>
  <c r="N73" i="7" s="1"/>
  <c r="R71" i="3"/>
  <c r="R71" i="5" s="1"/>
  <c r="R71" i="7" s="1"/>
  <c r="N71" i="5"/>
  <c r="N71" i="7" s="1"/>
  <c r="O69" i="3"/>
  <c r="O69" i="5" s="1"/>
  <c r="O69" i="7" s="1"/>
  <c r="N69" i="3"/>
  <c r="R66"/>
  <c r="R66" i="5" s="1"/>
  <c r="R66" i="7" s="1"/>
  <c r="R64" i="3"/>
  <c r="R64" i="5" s="1"/>
  <c r="R64" i="7" s="1"/>
  <c r="R60" i="3"/>
  <c r="R60" i="5" s="1"/>
  <c r="R60" i="7" s="1"/>
  <c r="R56" i="3"/>
  <c r="R56" i="5" s="1"/>
  <c r="R56" i="7" s="1"/>
  <c r="O56" i="3"/>
  <c r="O56" i="5" s="1"/>
  <c r="O56" i="7" s="1"/>
  <c r="N56" i="3"/>
  <c r="N56" i="5" s="1"/>
  <c r="N56" i="7" s="1"/>
  <c r="R54" i="3"/>
  <c r="R54" i="5" s="1"/>
  <c r="R54" i="7" s="1"/>
  <c r="R51" i="3"/>
  <c r="R51" i="5" s="1"/>
  <c r="R51" i="7" s="1"/>
  <c r="R47" i="3"/>
  <c r="R47" i="5" s="1"/>
  <c r="R47" i="7" s="1"/>
  <c r="N44" i="3"/>
  <c r="N44" i="5" s="1"/>
  <c r="N44" i="7" s="1"/>
  <c r="R39" i="3"/>
  <c r="R39" i="5" s="1"/>
  <c r="R39" i="7" s="1"/>
  <c r="I38" i="3"/>
  <c r="I38" i="5" s="1"/>
  <c r="I38" i="7" s="1"/>
  <c r="O35" i="3"/>
  <c r="O35" i="5" s="1"/>
  <c r="O35" i="7" s="1"/>
  <c r="R33" i="5"/>
  <c r="R33" i="7" s="1"/>
  <c r="N33" i="3"/>
  <c r="N33" i="5" s="1"/>
  <c r="N33" i="7" s="1"/>
  <c r="R30" i="3"/>
  <c r="R30" i="5" s="1"/>
  <c r="R30" i="7" s="1"/>
  <c r="N27" i="3"/>
  <c r="N27" i="5" s="1"/>
  <c r="N27" i="7" s="1"/>
  <c r="R22" i="3"/>
  <c r="R22" i="5" s="1"/>
  <c r="R22" i="7" s="1"/>
  <c r="O22" i="3"/>
  <c r="O22" i="5" s="1"/>
  <c r="O22" i="7" s="1"/>
  <c r="O20" i="3"/>
  <c r="O20" i="5" s="1"/>
  <c r="O20" i="7" s="1"/>
  <c r="R19" i="3"/>
  <c r="R19" i="5" s="1"/>
  <c r="R19" i="7" s="1"/>
  <c r="R16" i="3"/>
  <c r="R16" i="5" s="1"/>
  <c r="R16" i="7" s="1"/>
  <c r="N16" i="3"/>
  <c r="N16" i="5" s="1"/>
  <c r="N16" i="7" s="1"/>
  <c r="O14" i="3"/>
  <c r="O14" i="5" s="1"/>
  <c r="O14" i="7" s="1"/>
  <c r="N14" i="3"/>
  <c r="N14" i="5" s="1"/>
  <c r="N14" i="7" s="1"/>
  <c r="R12" i="3"/>
  <c r="R12" i="5" s="1"/>
  <c r="R12" i="7" s="1"/>
  <c r="N11" i="3"/>
  <c r="N11" i="5" s="1"/>
  <c r="N11" i="7" s="1"/>
  <c r="R10" i="3"/>
  <c r="R10" i="5" s="1"/>
  <c r="R10" i="7" s="1"/>
  <c r="R8" i="3"/>
  <c r="R8" i="5" s="1"/>
  <c r="R8" i="7" s="1"/>
  <c r="B54" i="3"/>
  <c r="B54" i="5" s="1"/>
  <c r="B54" i="7" s="1"/>
  <c r="C54" i="3"/>
  <c r="D54"/>
  <c r="D54" i="5" s="1"/>
  <c r="D54" i="7" s="1"/>
  <c r="E54" i="3"/>
  <c r="E54" i="5" s="1"/>
  <c r="E54" i="7" s="1"/>
  <c r="F54" i="3"/>
  <c r="F54" i="5" s="1"/>
  <c r="F54" i="7" s="1"/>
  <c r="G54" i="3"/>
  <c r="G54" i="5" s="1"/>
  <c r="G54" i="7" s="1"/>
  <c r="H54" i="3"/>
  <c r="H54" i="5" s="1"/>
  <c r="H54" i="7" s="1"/>
  <c r="I54" i="3"/>
  <c r="I54" i="5" s="1"/>
  <c r="I54" i="7" s="1"/>
  <c r="J54" i="3"/>
  <c r="K54"/>
  <c r="K54" i="5" s="1"/>
  <c r="K54" i="7" s="1"/>
  <c r="L54" i="3"/>
  <c r="L54" i="5" s="1"/>
  <c r="L54" i="7" s="1"/>
  <c r="N54" i="3"/>
  <c r="N54" i="5" s="1"/>
  <c r="N54" i="7" s="1"/>
  <c r="O54" i="3"/>
  <c r="O54" i="5" s="1"/>
  <c r="O54" i="7" s="1"/>
  <c r="P54" i="3"/>
  <c r="P54" i="5" s="1"/>
  <c r="Q54" i="3"/>
  <c r="Q54" i="5" s="1"/>
  <c r="Q54" i="7" s="1"/>
  <c r="A54" i="3"/>
  <c r="A54" i="5" s="1"/>
  <c r="A54" i="7" s="1"/>
  <c r="M32" i="5" l="1"/>
  <c r="M32" i="7" s="1"/>
  <c r="X32" s="1"/>
  <c r="K32"/>
  <c r="O12" i="3"/>
  <c r="O12" i="5" s="1"/>
  <c r="O12" i="7" s="1"/>
  <c r="N35" i="3"/>
  <c r="N35" i="5" s="1"/>
  <c r="N35" i="7" s="1"/>
  <c r="R34" i="3"/>
  <c r="R34" i="5" s="1"/>
  <c r="R34" i="7" s="1"/>
  <c r="R41" i="3"/>
  <c r="R41" i="5" s="1"/>
  <c r="R41" i="7" s="1"/>
  <c r="R77" i="3"/>
  <c r="R77" i="5" s="1"/>
  <c r="R77" i="7" s="1"/>
  <c r="R23" i="3"/>
  <c r="R23" i="5" s="1"/>
  <c r="R23" i="7" s="1"/>
  <c r="R81" i="3"/>
  <c r="R81" i="5" s="1"/>
  <c r="R81" i="7" s="1"/>
  <c r="R26" i="3"/>
  <c r="R26" i="5" s="1"/>
  <c r="R26" i="7" s="1"/>
  <c r="R14" i="3"/>
  <c r="R14" i="5" s="1"/>
  <c r="R14" i="7" s="1"/>
  <c r="N39" i="3"/>
  <c r="N39" i="5" s="1"/>
  <c r="N39" i="7" s="1"/>
  <c r="N80" i="3"/>
  <c r="N80" i="5" s="1"/>
  <c r="N80" i="7" s="1"/>
  <c r="R50" i="3"/>
  <c r="R50" i="5" s="1"/>
  <c r="R50" i="7" s="1"/>
  <c r="R29" i="3"/>
  <c r="R29" i="5" s="1"/>
  <c r="R29" i="7" s="1"/>
  <c r="R46" i="3"/>
  <c r="R46" i="5" s="1"/>
  <c r="R46" i="7" s="1"/>
  <c r="R17" i="3"/>
  <c r="R17" i="5" s="1"/>
  <c r="R17" i="7" s="1"/>
  <c r="R69" i="3"/>
  <c r="R69" i="5" s="1"/>
  <c r="R69" i="7" s="1"/>
  <c r="R25" i="3"/>
  <c r="R25" i="5" s="1"/>
  <c r="R25" i="7" s="1"/>
  <c r="R49" i="3"/>
  <c r="R49" i="5" s="1"/>
  <c r="R49" i="7" s="1"/>
  <c r="R82" i="3"/>
  <c r="R82" i="5" s="1"/>
  <c r="R82" i="7" s="1"/>
  <c r="R45" i="3"/>
  <c r="R45" i="5" s="1"/>
  <c r="R45" i="7" s="1"/>
  <c r="R85" i="3"/>
  <c r="R85" i="5" s="1"/>
  <c r="R85" i="7" s="1"/>
  <c r="N12" i="3"/>
  <c r="N12" i="5" s="1"/>
  <c r="N12" i="7" s="1"/>
  <c r="R42" i="3"/>
  <c r="R42" i="5" s="1"/>
  <c r="R42" i="7" s="1"/>
  <c r="R78" i="3"/>
  <c r="R78" i="5" s="1"/>
  <c r="R78" i="7" s="1"/>
  <c r="R65" i="3"/>
  <c r="R65" i="5" s="1"/>
  <c r="R65" i="7" s="1"/>
  <c r="R86" i="3"/>
  <c r="R86" i="5" s="1"/>
  <c r="R86" i="7" s="1"/>
  <c r="R31" i="5"/>
  <c r="R31" i="7" s="1"/>
  <c r="R80" i="3"/>
  <c r="R80" i="5" s="1"/>
  <c r="R80" i="7" s="1"/>
  <c r="R44" i="5"/>
  <c r="R44" i="7" s="1"/>
  <c r="R48" i="3"/>
  <c r="R48" i="5" s="1"/>
  <c r="R48" i="7" s="1"/>
  <c r="R52" i="3"/>
  <c r="R52" i="5" s="1"/>
  <c r="R52" i="7" s="1"/>
  <c r="N69" i="5"/>
  <c r="N69" i="7" s="1"/>
  <c r="R76" i="3"/>
  <c r="R76" i="5" s="1"/>
  <c r="R76" i="7" s="1"/>
  <c r="R72" i="3"/>
  <c r="R72" i="5" s="1"/>
  <c r="R72" i="7" s="1"/>
  <c r="R35" i="5"/>
  <c r="R35" i="7" s="1"/>
  <c r="R68" i="3"/>
  <c r="R68" i="5" s="1"/>
  <c r="R68" i="7" s="1"/>
  <c r="R75" i="3"/>
  <c r="R75" i="5" s="1"/>
  <c r="R75" i="7" s="1"/>
  <c r="R27" i="3"/>
  <c r="R27" i="5" s="1"/>
  <c r="R27" i="7" s="1"/>
  <c r="J54" i="5"/>
  <c r="M54" i="3"/>
  <c r="R11"/>
  <c r="R11" i="5" s="1"/>
  <c r="R11" i="7" s="1"/>
  <c r="R20" i="3"/>
  <c r="R20" i="5" s="1"/>
  <c r="R20" i="7" s="1"/>
  <c r="R28" i="3"/>
  <c r="R28" i="5" s="1"/>
  <c r="R28" i="7" s="1"/>
  <c r="R43" i="3"/>
  <c r="R43" i="5" s="1"/>
  <c r="R43" i="7" s="1"/>
  <c r="R67" i="3"/>
  <c r="R67" i="5" s="1"/>
  <c r="R67" i="7" s="1"/>
  <c r="AA32" i="5" l="1"/>
  <c r="M54"/>
  <c r="M54" i="7" s="1"/>
  <c r="X54" s="1"/>
  <c r="J54"/>
  <c r="U32" i="3"/>
  <c r="T32"/>
  <c r="T32" i="5" s="1"/>
  <c r="AA54" l="1"/>
  <c r="T32" i="7"/>
  <c r="U32" i="5"/>
  <c r="A9" i="3"/>
  <c r="A9" i="5" s="1"/>
  <c r="A9" i="7" s="1"/>
  <c r="B9" i="3"/>
  <c r="B9" i="5" s="1"/>
  <c r="B9" i="7" s="1"/>
  <c r="C9" i="3"/>
  <c r="D9"/>
  <c r="D9" i="5" s="1"/>
  <c r="D9" i="7" s="1"/>
  <c r="E9" i="3"/>
  <c r="E9" i="5" s="1"/>
  <c r="E9" i="7" s="1"/>
  <c r="F9" i="3"/>
  <c r="F9" i="5" s="1"/>
  <c r="F9" i="7" s="1"/>
  <c r="G9" i="3"/>
  <c r="G9" i="5" s="1"/>
  <c r="G9" i="7" s="1"/>
  <c r="H9" i="3"/>
  <c r="H9" i="5" s="1"/>
  <c r="H9" i="7" s="1"/>
  <c r="I9" i="3"/>
  <c r="I9" i="5" s="1"/>
  <c r="I9" i="7" s="1"/>
  <c r="J9" i="3"/>
  <c r="K9"/>
  <c r="K9" i="5" s="1"/>
  <c r="K9" i="7" s="1"/>
  <c r="L9" i="3"/>
  <c r="L9" i="5" s="1"/>
  <c r="L9" i="7" s="1"/>
  <c r="N9" i="3"/>
  <c r="N9" i="5" s="1"/>
  <c r="N9" i="7" s="1"/>
  <c r="O9" i="3"/>
  <c r="O9" i="5" s="1"/>
  <c r="O9" i="7" s="1"/>
  <c r="P9" i="3"/>
  <c r="P9" i="5" s="1"/>
  <c r="Q9" i="3"/>
  <c r="Q9" i="5" s="1"/>
  <c r="Q9" i="7" s="1"/>
  <c r="V9" i="3"/>
  <c r="V9" i="5" s="1"/>
  <c r="V9" i="7" s="1"/>
  <c r="A10" i="3"/>
  <c r="A10" i="5" s="1"/>
  <c r="A10" i="7" s="1"/>
  <c r="B10" i="3"/>
  <c r="B10" i="5" s="1"/>
  <c r="B10" i="7" s="1"/>
  <c r="C10" i="3"/>
  <c r="D10"/>
  <c r="D10" i="5" s="1"/>
  <c r="D10" i="7" s="1"/>
  <c r="E10" i="3"/>
  <c r="E10" i="5" s="1"/>
  <c r="E10" i="7" s="1"/>
  <c r="F10" i="3"/>
  <c r="F10" i="5" s="1"/>
  <c r="F10" i="7" s="1"/>
  <c r="G10" i="3"/>
  <c r="G10" i="5" s="1"/>
  <c r="G10" i="7" s="1"/>
  <c r="H10" i="3"/>
  <c r="H10" i="5" s="1"/>
  <c r="H10" i="7" s="1"/>
  <c r="I10" i="3"/>
  <c r="I10" i="5" s="1"/>
  <c r="I10" i="7" s="1"/>
  <c r="J10" i="3"/>
  <c r="K10"/>
  <c r="K10" i="5" s="1"/>
  <c r="K10" i="7" s="1"/>
  <c r="L10" i="3"/>
  <c r="L10" i="5" s="1"/>
  <c r="L10" i="7" s="1"/>
  <c r="N10" i="3"/>
  <c r="N10" i="5" s="1"/>
  <c r="N10" i="7" s="1"/>
  <c r="O10" i="3"/>
  <c r="O10" i="5" s="1"/>
  <c r="O10" i="7" s="1"/>
  <c r="P10" i="3"/>
  <c r="P10" i="5" s="1"/>
  <c r="Q10" i="3"/>
  <c r="Q10" i="5" s="1"/>
  <c r="Q10" i="7" s="1"/>
  <c r="A11" i="3"/>
  <c r="A11" i="5" s="1"/>
  <c r="A11" i="7" s="1"/>
  <c r="B11" i="3"/>
  <c r="B11" i="5" s="1"/>
  <c r="B11" i="7" s="1"/>
  <c r="C11" i="3"/>
  <c r="D11"/>
  <c r="D11" i="5" s="1"/>
  <c r="D11" i="7" s="1"/>
  <c r="E11" i="3"/>
  <c r="E11" i="5" s="1"/>
  <c r="E11" i="7" s="1"/>
  <c r="F11" i="3"/>
  <c r="F11" i="5" s="1"/>
  <c r="F11" i="7" s="1"/>
  <c r="G11" i="3"/>
  <c r="G11" i="5" s="1"/>
  <c r="G11" i="7" s="1"/>
  <c r="H11" i="3"/>
  <c r="H11" i="5" s="1"/>
  <c r="H11" i="7" s="1"/>
  <c r="I11" i="3"/>
  <c r="I11" i="5" s="1"/>
  <c r="I11" i="7" s="1"/>
  <c r="J11" i="3"/>
  <c r="K11"/>
  <c r="K11" i="5" s="1"/>
  <c r="K11" i="7" s="1"/>
  <c r="L11" i="3"/>
  <c r="L11" i="5" s="1"/>
  <c r="L11" i="7" s="1"/>
  <c r="O11" i="3"/>
  <c r="O11" i="5" s="1"/>
  <c r="O11" i="7" s="1"/>
  <c r="P11" i="3"/>
  <c r="P11" i="5" s="1"/>
  <c r="Q11" i="3"/>
  <c r="Q11" i="5" s="1"/>
  <c r="Q11" i="7" s="1"/>
  <c r="V11" i="3"/>
  <c r="V11" i="5" s="1"/>
  <c r="A12" i="3"/>
  <c r="A12" i="5" s="1"/>
  <c r="A12" i="7" s="1"/>
  <c r="B12" i="3"/>
  <c r="B12" i="5" s="1"/>
  <c r="B12" i="7" s="1"/>
  <c r="C12" i="3"/>
  <c r="D12"/>
  <c r="D12" i="5" s="1"/>
  <c r="D12" i="7" s="1"/>
  <c r="E12" i="3"/>
  <c r="E12" i="5" s="1"/>
  <c r="E12" i="7" s="1"/>
  <c r="F12" i="3"/>
  <c r="F12" i="5" s="1"/>
  <c r="F12" i="7" s="1"/>
  <c r="G12" i="3"/>
  <c r="G12" i="5" s="1"/>
  <c r="G12" i="7" s="1"/>
  <c r="H12" i="3"/>
  <c r="H12" i="5" s="1"/>
  <c r="H12" i="7" s="1"/>
  <c r="I12" i="3"/>
  <c r="I12" i="5" s="1"/>
  <c r="I12" i="7" s="1"/>
  <c r="J12" i="3"/>
  <c r="K12"/>
  <c r="K12" i="5" s="1"/>
  <c r="K12" i="7" s="1"/>
  <c r="L12" i="3"/>
  <c r="L12" i="5" s="1"/>
  <c r="L12" i="7" s="1"/>
  <c r="P12" i="3"/>
  <c r="P12" i="5" s="1"/>
  <c r="Q12" i="3"/>
  <c r="Q12" i="5" s="1"/>
  <c r="Q12" i="7" s="1"/>
  <c r="V12" i="3"/>
  <c r="V12" i="5" s="1"/>
  <c r="A13" i="3"/>
  <c r="A13" i="5" s="1"/>
  <c r="A13" i="7" s="1"/>
  <c r="B13" i="3"/>
  <c r="B13" i="5" s="1"/>
  <c r="B13" i="7" s="1"/>
  <c r="C13" i="3"/>
  <c r="D13"/>
  <c r="D13" i="5" s="1"/>
  <c r="D13" i="7" s="1"/>
  <c r="E13" i="3"/>
  <c r="E13" i="5" s="1"/>
  <c r="E13" i="7" s="1"/>
  <c r="F13" i="3"/>
  <c r="F13" i="5" s="1"/>
  <c r="F13" i="7" s="1"/>
  <c r="G13" i="3"/>
  <c r="G13" i="5" s="1"/>
  <c r="G13" i="7" s="1"/>
  <c r="H13" i="3"/>
  <c r="H13" i="5" s="1"/>
  <c r="H13" i="7" s="1"/>
  <c r="I13" i="3"/>
  <c r="I13" i="5" s="1"/>
  <c r="I13" i="7" s="1"/>
  <c r="J13" i="3"/>
  <c r="K13"/>
  <c r="K13" i="5" s="1"/>
  <c r="K13" i="7" s="1"/>
  <c r="L13" i="3"/>
  <c r="L13" i="5" s="1"/>
  <c r="L13" i="7" s="1"/>
  <c r="N13" i="3"/>
  <c r="N13" i="5" s="1"/>
  <c r="N13" i="7" s="1"/>
  <c r="O13" i="3"/>
  <c r="O13" i="5" s="1"/>
  <c r="O13" i="7" s="1"/>
  <c r="P13" i="3"/>
  <c r="P13" i="5" s="1"/>
  <c r="Q13" i="3"/>
  <c r="Q13" i="5" s="1"/>
  <c r="Q13" i="7" s="1"/>
  <c r="V13" i="3"/>
  <c r="V13" i="5" s="1"/>
  <c r="V13" i="7" s="1"/>
  <c r="A14" i="3"/>
  <c r="A14" i="5" s="1"/>
  <c r="A14" i="7" s="1"/>
  <c r="B14" i="3"/>
  <c r="B14" i="5" s="1"/>
  <c r="B14" i="7" s="1"/>
  <c r="C14" i="3"/>
  <c r="D14"/>
  <c r="D14" i="5" s="1"/>
  <c r="D14" i="7" s="1"/>
  <c r="E14" i="3"/>
  <c r="E14" i="5" s="1"/>
  <c r="E14" i="7" s="1"/>
  <c r="F14" i="3"/>
  <c r="F14" i="5" s="1"/>
  <c r="F14" i="7" s="1"/>
  <c r="G14" i="3"/>
  <c r="G14" i="5" s="1"/>
  <c r="G14" i="7" s="1"/>
  <c r="H14" i="3"/>
  <c r="H14" i="5" s="1"/>
  <c r="H14" i="7" s="1"/>
  <c r="I14" i="3"/>
  <c r="I14" i="5" s="1"/>
  <c r="I14" i="7" s="1"/>
  <c r="J14" i="3"/>
  <c r="K14"/>
  <c r="K14" i="5" s="1"/>
  <c r="K14" i="7" s="1"/>
  <c r="L14" i="3"/>
  <c r="L14" i="5" s="1"/>
  <c r="L14" i="7" s="1"/>
  <c r="P14" i="3"/>
  <c r="P14" i="5" s="1"/>
  <c r="Q14" i="3"/>
  <c r="Q14" i="5" s="1"/>
  <c r="Q14" i="7" s="1"/>
  <c r="V14" i="3"/>
  <c r="A15"/>
  <c r="A15" i="5" s="1"/>
  <c r="A15" i="7" s="1"/>
  <c r="B15" i="3"/>
  <c r="B15" i="5" s="1"/>
  <c r="B15" i="7" s="1"/>
  <c r="C15" i="3"/>
  <c r="D15"/>
  <c r="D15" i="5" s="1"/>
  <c r="D15" i="7" s="1"/>
  <c r="E15" i="3"/>
  <c r="E15" i="5" s="1"/>
  <c r="E15" i="7" s="1"/>
  <c r="F15" i="3"/>
  <c r="F15" i="5" s="1"/>
  <c r="F15" i="7" s="1"/>
  <c r="G15" i="3"/>
  <c r="G15" i="5" s="1"/>
  <c r="G15" i="7" s="1"/>
  <c r="H15" i="3"/>
  <c r="H15" i="5" s="1"/>
  <c r="H15" i="7" s="1"/>
  <c r="I15" i="3"/>
  <c r="I15" i="5" s="1"/>
  <c r="I15" i="7" s="1"/>
  <c r="J15" i="3"/>
  <c r="K15"/>
  <c r="K15" i="5" s="1"/>
  <c r="K15" i="7" s="1"/>
  <c r="L15" i="3"/>
  <c r="L15" i="5" s="1"/>
  <c r="L15" i="7" s="1"/>
  <c r="N15" i="3"/>
  <c r="N15" i="5" s="1"/>
  <c r="N15" i="7" s="1"/>
  <c r="O15" i="3"/>
  <c r="O15" i="5" s="1"/>
  <c r="O15" i="7" s="1"/>
  <c r="P15" i="3"/>
  <c r="P15" i="5" s="1"/>
  <c r="Q15" i="3"/>
  <c r="Q15" i="5" s="1"/>
  <c r="Q15" i="7" s="1"/>
  <c r="V15" i="3"/>
  <c r="V15" i="5" s="1"/>
  <c r="V15" i="7" s="1"/>
  <c r="A16" i="3"/>
  <c r="A16" i="5" s="1"/>
  <c r="A16" i="7" s="1"/>
  <c r="B16" i="3"/>
  <c r="B16" i="5" s="1"/>
  <c r="B16" i="7" s="1"/>
  <c r="C16" i="3"/>
  <c r="D16"/>
  <c r="D16" i="5" s="1"/>
  <c r="D16" i="7" s="1"/>
  <c r="E16" i="3"/>
  <c r="E16" i="5" s="1"/>
  <c r="E16" i="7" s="1"/>
  <c r="F16" i="3"/>
  <c r="F16" i="5" s="1"/>
  <c r="F16" i="7" s="1"/>
  <c r="G16" i="3"/>
  <c r="G16" i="5" s="1"/>
  <c r="G16" i="7" s="1"/>
  <c r="H16" i="3"/>
  <c r="H16" i="5" s="1"/>
  <c r="H16" i="7" s="1"/>
  <c r="I16" i="3"/>
  <c r="I16" i="5" s="1"/>
  <c r="I16" i="7" s="1"/>
  <c r="J16" i="3"/>
  <c r="J16" i="5" s="1"/>
  <c r="J16" i="7" s="1"/>
  <c r="K16" i="3"/>
  <c r="L16"/>
  <c r="L16" i="5" s="1"/>
  <c r="L16" i="7" s="1"/>
  <c r="O16" i="3"/>
  <c r="O16" i="5" s="1"/>
  <c r="O16" i="7" s="1"/>
  <c r="P16" i="3"/>
  <c r="P16" i="5" s="1"/>
  <c r="Q16" i="3"/>
  <c r="Q16" i="5" s="1"/>
  <c r="Q16" i="7" s="1"/>
  <c r="V16" i="3"/>
  <c r="A17"/>
  <c r="A17" i="5" s="1"/>
  <c r="A17" i="7" s="1"/>
  <c r="B17" i="3"/>
  <c r="B17" i="5" s="1"/>
  <c r="B17" i="7" s="1"/>
  <c r="C17" i="3"/>
  <c r="D17"/>
  <c r="D17" i="5" s="1"/>
  <c r="D17" i="7" s="1"/>
  <c r="E17" i="3"/>
  <c r="E17" i="5" s="1"/>
  <c r="E17" i="7" s="1"/>
  <c r="F17" i="3"/>
  <c r="F17" i="5" s="1"/>
  <c r="F17" i="7" s="1"/>
  <c r="G17" i="3"/>
  <c r="G17" i="5" s="1"/>
  <c r="G17" i="7" s="1"/>
  <c r="H17" i="3"/>
  <c r="H17" i="5" s="1"/>
  <c r="H17" i="7" s="1"/>
  <c r="I17" i="3"/>
  <c r="I17" i="5" s="1"/>
  <c r="I17" i="7" s="1"/>
  <c r="J17" i="3"/>
  <c r="J17" i="5" s="1"/>
  <c r="J17" i="7" s="1"/>
  <c r="K17" i="3"/>
  <c r="L17"/>
  <c r="L17" i="5" s="1"/>
  <c r="L17" i="7" s="1"/>
  <c r="P17" i="3"/>
  <c r="P17" i="5" s="1"/>
  <c r="Q17" i="3"/>
  <c r="Q17" i="5" s="1"/>
  <c r="Q17" i="7" s="1"/>
  <c r="V17" i="3"/>
  <c r="V17" i="5" s="1"/>
  <c r="V17" i="7" s="1"/>
  <c r="A18" i="3"/>
  <c r="A18" i="5" s="1"/>
  <c r="A18" i="7" s="1"/>
  <c r="B18" i="3"/>
  <c r="B18" i="5" s="1"/>
  <c r="B18" i="7" s="1"/>
  <c r="C18" i="3"/>
  <c r="D18"/>
  <c r="D18" i="5" s="1"/>
  <c r="D18" i="7" s="1"/>
  <c r="E18" i="3"/>
  <c r="E18" i="5" s="1"/>
  <c r="F18" i="3"/>
  <c r="F18" i="5" s="1"/>
  <c r="F18" i="7" s="1"/>
  <c r="G18" i="3"/>
  <c r="G18" i="5" s="1"/>
  <c r="G18" i="7" s="1"/>
  <c r="H18" i="3"/>
  <c r="H18" i="5" s="1"/>
  <c r="H18" i="7" s="1"/>
  <c r="I18" i="3"/>
  <c r="I18" i="5" s="1"/>
  <c r="I18" i="7" s="1"/>
  <c r="J18" i="3"/>
  <c r="K18"/>
  <c r="K18" i="5" s="1"/>
  <c r="K18" i="7" s="1"/>
  <c r="L18" i="3"/>
  <c r="L18" i="5" s="1"/>
  <c r="L18" i="7" s="1"/>
  <c r="N18" i="3"/>
  <c r="N18" i="5" s="1"/>
  <c r="N18" i="7" s="1"/>
  <c r="O18" i="3"/>
  <c r="O18" i="5" s="1"/>
  <c r="O18" i="7" s="1"/>
  <c r="P18" i="3"/>
  <c r="P18" i="5" s="1"/>
  <c r="Q18" i="3"/>
  <c r="Q18" i="5" s="1"/>
  <c r="Q18" i="7" s="1"/>
  <c r="V18" i="3"/>
  <c r="A19"/>
  <c r="A19" i="5" s="1"/>
  <c r="A19" i="7" s="1"/>
  <c r="B19" i="3"/>
  <c r="B19" i="5" s="1"/>
  <c r="B19" i="7" s="1"/>
  <c r="C19" i="3"/>
  <c r="D19"/>
  <c r="D19" i="5" s="1"/>
  <c r="D19" i="7" s="1"/>
  <c r="E19" i="3"/>
  <c r="E19" i="5" s="1"/>
  <c r="E19" i="7" s="1"/>
  <c r="F19" i="3"/>
  <c r="F19" i="5" s="1"/>
  <c r="F19" i="7" s="1"/>
  <c r="G19" i="3"/>
  <c r="G19" i="5" s="1"/>
  <c r="G19" i="7" s="1"/>
  <c r="H19" i="3"/>
  <c r="H19" i="5" s="1"/>
  <c r="H19" i="7" s="1"/>
  <c r="I19" i="3"/>
  <c r="I19" i="5" s="1"/>
  <c r="I19" i="7" s="1"/>
  <c r="J19" i="3"/>
  <c r="K19"/>
  <c r="K19" i="5" s="1"/>
  <c r="K19" i="7" s="1"/>
  <c r="L19" i="3"/>
  <c r="L19" i="5" s="1"/>
  <c r="L19" i="7" s="1"/>
  <c r="N19" i="3"/>
  <c r="N19" i="5" s="1"/>
  <c r="N19" i="7" s="1"/>
  <c r="O19" i="3"/>
  <c r="O19" i="5" s="1"/>
  <c r="O19" i="7" s="1"/>
  <c r="P19" i="3"/>
  <c r="P19" i="5" s="1"/>
  <c r="Q19" i="3"/>
  <c r="Q19" i="5" s="1"/>
  <c r="Q19" i="7" s="1"/>
  <c r="V19" i="3"/>
  <c r="V19" i="5" s="1"/>
  <c r="V19" i="7" s="1"/>
  <c r="A20" i="3"/>
  <c r="A20" i="5" s="1"/>
  <c r="A20" i="7" s="1"/>
  <c r="B20" i="3"/>
  <c r="B20" i="5" s="1"/>
  <c r="B20" i="7" s="1"/>
  <c r="C20" i="3"/>
  <c r="D20"/>
  <c r="D20" i="5" s="1"/>
  <c r="D20" i="7" s="1"/>
  <c r="E20" i="3"/>
  <c r="E20" i="5" s="1"/>
  <c r="F20" i="3"/>
  <c r="F20" i="5" s="1"/>
  <c r="F20" i="7" s="1"/>
  <c r="G20" i="3"/>
  <c r="G20" i="5" s="1"/>
  <c r="G20" i="7" s="1"/>
  <c r="H20" i="3"/>
  <c r="H20" i="5" s="1"/>
  <c r="H20" i="7" s="1"/>
  <c r="I20" i="3"/>
  <c r="I20" i="5" s="1"/>
  <c r="I20" i="7" s="1"/>
  <c r="J20" i="3"/>
  <c r="K20"/>
  <c r="K20" i="5" s="1"/>
  <c r="K20" i="7" s="1"/>
  <c r="L20" i="3"/>
  <c r="L20" i="5" s="1"/>
  <c r="L20" i="7" s="1"/>
  <c r="N20" i="3"/>
  <c r="N20" i="5" s="1"/>
  <c r="N20" i="7" s="1"/>
  <c r="P20" i="3"/>
  <c r="P20" i="5" s="1"/>
  <c r="Q20" i="3"/>
  <c r="Q20" i="5" s="1"/>
  <c r="Q20" i="7" s="1"/>
  <c r="V20" i="3"/>
  <c r="A21"/>
  <c r="A21" i="5" s="1"/>
  <c r="A21" i="7" s="1"/>
  <c r="B21" i="3"/>
  <c r="B21" i="5" s="1"/>
  <c r="B21" i="7" s="1"/>
  <c r="C21" i="3"/>
  <c r="D21"/>
  <c r="D21" i="5" s="1"/>
  <c r="D21" i="7" s="1"/>
  <c r="E21" i="3"/>
  <c r="E21" i="5" s="1"/>
  <c r="E21" i="7" s="1"/>
  <c r="F21" i="3"/>
  <c r="F21" i="5" s="1"/>
  <c r="F21" i="7" s="1"/>
  <c r="G21" i="3"/>
  <c r="G21" i="5" s="1"/>
  <c r="G21" i="7" s="1"/>
  <c r="H21" i="3"/>
  <c r="H21" i="5" s="1"/>
  <c r="H21" i="7" s="1"/>
  <c r="I21" i="3"/>
  <c r="I21" i="5" s="1"/>
  <c r="I21" i="7" s="1"/>
  <c r="J21" i="3"/>
  <c r="K21"/>
  <c r="K21" i="5" s="1"/>
  <c r="K21" i="7" s="1"/>
  <c r="L21" i="3"/>
  <c r="L21" i="5" s="1"/>
  <c r="L21" i="7" s="1"/>
  <c r="N21" i="3"/>
  <c r="N21" i="5" s="1"/>
  <c r="N21" i="7" s="1"/>
  <c r="O21" i="3"/>
  <c r="O21" i="5" s="1"/>
  <c r="O21" i="7" s="1"/>
  <c r="P21" i="3"/>
  <c r="P21" i="5" s="1"/>
  <c r="Q21" i="3"/>
  <c r="Q21" i="5" s="1"/>
  <c r="Q21" i="7" s="1"/>
  <c r="V21" i="3"/>
  <c r="V21" i="5" s="1"/>
  <c r="V21" i="7" s="1"/>
  <c r="A22" i="3"/>
  <c r="A22" i="5" s="1"/>
  <c r="A22" i="7" s="1"/>
  <c r="B22" i="3"/>
  <c r="B22" i="5" s="1"/>
  <c r="B22" i="7" s="1"/>
  <c r="C22" i="3"/>
  <c r="D22"/>
  <c r="D22" i="5" s="1"/>
  <c r="D22" i="7" s="1"/>
  <c r="E22" i="3"/>
  <c r="E22" i="5" s="1"/>
  <c r="F22" i="3"/>
  <c r="F22" i="5" s="1"/>
  <c r="F22" i="7" s="1"/>
  <c r="G22" i="3"/>
  <c r="G22" i="5" s="1"/>
  <c r="G22" i="7" s="1"/>
  <c r="H22" i="3"/>
  <c r="H22" i="5" s="1"/>
  <c r="H22" i="7" s="1"/>
  <c r="I22" i="3"/>
  <c r="I22" i="5" s="1"/>
  <c r="I22" i="7" s="1"/>
  <c r="J22" i="3"/>
  <c r="K22"/>
  <c r="K22" i="5" s="1"/>
  <c r="K22" i="7" s="1"/>
  <c r="L22" i="3"/>
  <c r="L22" i="5" s="1"/>
  <c r="L22" i="7" s="1"/>
  <c r="N22" i="3"/>
  <c r="N22" i="5" s="1"/>
  <c r="N22" i="7" s="1"/>
  <c r="P22" i="3"/>
  <c r="P22" i="5" s="1"/>
  <c r="Q22" i="3"/>
  <c r="Q22" i="5" s="1"/>
  <c r="Q22" i="7" s="1"/>
  <c r="V22" i="3"/>
  <c r="A23"/>
  <c r="A23" i="5" s="1"/>
  <c r="A23" i="7" s="1"/>
  <c r="B23" i="3"/>
  <c r="B23" i="5" s="1"/>
  <c r="B23" i="7" s="1"/>
  <c r="C23" i="3"/>
  <c r="D23"/>
  <c r="D23" i="5" s="1"/>
  <c r="D23" i="7" s="1"/>
  <c r="E23" i="3"/>
  <c r="E23" i="5" s="1"/>
  <c r="E23" i="7" s="1"/>
  <c r="F23" i="3"/>
  <c r="F23" i="5" s="1"/>
  <c r="F23" i="7" s="1"/>
  <c r="G23" i="3"/>
  <c r="G23" i="5" s="1"/>
  <c r="G23" i="7" s="1"/>
  <c r="H23" i="3"/>
  <c r="H23" i="5" s="1"/>
  <c r="H23" i="7" s="1"/>
  <c r="I23" i="3"/>
  <c r="I23" i="5" s="1"/>
  <c r="I23" i="7" s="1"/>
  <c r="J23" i="3"/>
  <c r="K23"/>
  <c r="K23" i="5" s="1"/>
  <c r="K23" i="7" s="1"/>
  <c r="L23" i="3"/>
  <c r="L23" i="5" s="1"/>
  <c r="L23" i="7" s="1"/>
  <c r="N23" i="3"/>
  <c r="N23" i="5" s="1"/>
  <c r="N23" i="7" s="1"/>
  <c r="P23" i="3"/>
  <c r="P23" i="5" s="1"/>
  <c r="Q23" i="3"/>
  <c r="Q23" i="5" s="1"/>
  <c r="Q23" i="7" s="1"/>
  <c r="V23" i="3"/>
  <c r="V23" i="5" s="1"/>
  <c r="V23" i="7" s="1"/>
  <c r="A24" i="3"/>
  <c r="A24" i="5" s="1"/>
  <c r="A24" i="7" s="1"/>
  <c r="B24" i="3"/>
  <c r="B24" i="5" s="1"/>
  <c r="B24" i="7" s="1"/>
  <c r="C24" i="3"/>
  <c r="D24"/>
  <c r="D24" i="5" s="1"/>
  <c r="D24" i="7" s="1"/>
  <c r="E24" i="3"/>
  <c r="E24" i="5" s="1"/>
  <c r="F24" i="3"/>
  <c r="F24" i="5" s="1"/>
  <c r="F24" i="7" s="1"/>
  <c r="G24" i="3"/>
  <c r="G24" i="5" s="1"/>
  <c r="G24" i="7" s="1"/>
  <c r="H24" i="3"/>
  <c r="H24" i="5" s="1"/>
  <c r="H24" i="7" s="1"/>
  <c r="I24" i="3"/>
  <c r="I24" i="5" s="1"/>
  <c r="I24" i="7" s="1"/>
  <c r="J24" i="3"/>
  <c r="J24" i="5" s="1"/>
  <c r="J24" i="7" s="1"/>
  <c r="K24" i="3"/>
  <c r="L24"/>
  <c r="L24" i="5" s="1"/>
  <c r="L24" i="7" s="1"/>
  <c r="N24" i="3"/>
  <c r="N24" i="5" s="1"/>
  <c r="N24" i="7" s="1"/>
  <c r="O24" i="3"/>
  <c r="O24" i="5" s="1"/>
  <c r="O24" i="7" s="1"/>
  <c r="P24" i="3"/>
  <c r="P24" i="5" s="1"/>
  <c r="Q24" i="3"/>
  <c r="Q24" i="5" s="1"/>
  <c r="Q24" i="7" s="1"/>
  <c r="V24" i="3"/>
  <c r="A25"/>
  <c r="A25" i="5" s="1"/>
  <c r="A25" i="7" s="1"/>
  <c r="B25" i="3"/>
  <c r="B25" i="5" s="1"/>
  <c r="B25" i="7" s="1"/>
  <c r="C25" i="3"/>
  <c r="D25"/>
  <c r="D25" i="5" s="1"/>
  <c r="D25" i="7" s="1"/>
  <c r="E25" i="3"/>
  <c r="E25" i="5" s="1"/>
  <c r="E25" i="7" s="1"/>
  <c r="F25" i="3"/>
  <c r="F25" i="5" s="1"/>
  <c r="F25" i="7" s="1"/>
  <c r="G25" i="3"/>
  <c r="G25" i="5" s="1"/>
  <c r="G25" i="7" s="1"/>
  <c r="H25" i="3"/>
  <c r="H25" i="5" s="1"/>
  <c r="H25" i="7" s="1"/>
  <c r="I25" i="3"/>
  <c r="I25" i="5" s="1"/>
  <c r="I25" i="7" s="1"/>
  <c r="J25" i="3"/>
  <c r="K25"/>
  <c r="K25" i="5" s="1"/>
  <c r="K25" i="7" s="1"/>
  <c r="L25" i="3"/>
  <c r="L25" i="5" s="1"/>
  <c r="L25" i="7" s="1"/>
  <c r="N25" i="3"/>
  <c r="N25" i="5" s="1"/>
  <c r="N25" i="7" s="1"/>
  <c r="O25" i="3"/>
  <c r="O25" i="5" s="1"/>
  <c r="O25" i="7" s="1"/>
  <c r="P25" i="3"/>
  <c r="P25" i="5" s="1"/>
  <c r="Q25" i="3"/>
  <c r="Q25" i="5" s="1"/>
  <c r="Q25" i="7" s="1"/>
  <c r="V25" i="3"/>
  <c r="V25" i="5" s="1"/>
  <c r="V25" i="7" s="1"/>
  <c r="A26" i="3"/>
  <c r="A26" i="5" s="1"/>
  <c r="A26" i="7" s="1"/>
  <c r="B26" i="3"/>
  <c r="B26" i="5" s="1"/>
  <c r="B26" i="7" s="1"/>
  <c r="C26" i="3"/>
  <c r="D26"/>
  <c r="D26" i="5" s="1"/>
  <c r="D26" i="7" s="1"/>
  <c r="E26" i="3"/>
  <c r="E26" i="5" s="1"/>
  <c r="F26" i="3"/>
  <c r="F26" i="5" s="1"/>
  <c r="F26" i="7" s="1"/>
  <c r="G26" i="3"/>
  <c r="G26" i="5" s="1"/>
  <c r="G26" i="7" s="1"/>
  <c r="H26" i="3"/>
  <c r="H26" i="5" s="1"/>
  <c r="H26" i="7" s="1"/>
  <c r="I26" i="3"/>
  <c r="I26" i="5" s="1"/>
  <c r="I26" i="7" s="1"/>
  <c r="J26" i="3"/>
  <c r="K26"/>
  <c r="K26" i="5" s="1"/>
  <c r="K26" i="7" s="1"/>
  <c r="L26" i="3"/>
  <c r="L26" i="5" s="1"/>
  <c r="L26" i="7" s="1"/>
  <c r="N26" i="3"/>
  <c r="N26" i="5" s="1"/>
  <c r="N26" i="7" s="1"/>
  <c r="O26" i="3"/>
  <c r="O26" i="5" s="1"/>
  <c r="O26" i="7" s="1"/>
  <c r="P26" i="3"/>
  <c r="P26" i="5" s="1"/>
  <c r="Q26" i="3"/>
  <c r="Q26" i="5" s="1"/>
  <c r="Q26" i="7" s="1"/>
  <c r="V26" i="3"/>
  <c r="V26" i="5" s="1"/>
  <c r="V26" i="7" s="1"/>
  <c r="A27" i="3"/>
  <c r="A27" i="5" s="1"/>
  <c r="A27" i="7" s="1"/>
  <c r="B27" i="3"/>
  <c r="B27" i="5" s="1"/>
  <c r="B27" i="7" s="1"/>
  <c r="C27" i="3"/>
  <c r="D27"/>
  <c r="D27" i="5" s="1"/>
  <c r="D27" i="7" s="1"/>
  <c r="E27" i="3"/>
  <c r="E27" i="5" s="1"/>
  <c r="E27" i="7" s="1"/>
  <c r="F27" i="3"/>
  <c r="F27" i="5" s="1"/>
  <c r="F27" i="7" s="1"/>
  <c r="G27" i="3"/>
  <c r="G27" i="5" s="1"/>
  <c r="G27" i="7" s="1"/>
  <c r="H27" i="3"/>
  <c r="H27" i="5" s="1"/>
  <c r="H27" i="7" s="1"/>
  <c r="I27" i="3"/>
  <c r="I27" i="5" s="1"/>
  <c r="I27" i="7" s="1"/>
  <c r="J27" i="3"/>
  <c r="K27"/>
  <c r="K27" i="5" s="1"/>
  <c r="K27" i="7" s="1"/>
  <c r="L27" i="3"/>
  <c r="L27" i="5" s="1"/>
  <c r="L27" i="7" s="1"/>
  <c r="O27" i="3"/>
  <c r="O27" i="5" s="1"/>
  <c r="O27" i="7" s="1"/>
  <c r="P27" i="3"/>
  <c r="P27" i="5" s="1"/>
  <c r="Q27" i="3"/>
  <c r="Q27" i="5" s="1"/>
  <c r="Q27" i="7" s="1"/>
  <c r="V27" i="3"/>
  <c r="V27" i="5" s="1"/>
  <c r="V27" i="7" s="1"/>
  <c r="A28" i="3"/>
  <c r="A28" i="5" s="1"/>
  <c r="A28" i="7" s="1"/>
  <c r="B28" i="3"/>
  <c r="B28" i="5" s="1"/>
  <c r="B28" i="7" s="1"/>
  <c r="C28" i="3"/>
  <c r="D28"/>
  <c r="D28" i="5" s="1"/>
  <c r="D28" i="7" s="1"/>
  <c r="E28" i="3"/>
  <c r="E28" i="5" s="1"/>
  <c r="E28" i="7" s="1"/>
  <c r="F28" i="3"/>
  <c r="F28" i="5" s="1"/>
  <c r="F28" i="7" s="1"/>
  <c r="G28" i="3"/>
  <c r="G28" i="5" s="1"/>
  <c r="G28" i="7" s="1"/>
  <c r="H28" i="3"/>
  <c r="H28" i="5" s="1"/>
  <c r="H28" i="7" s="1"/>
  <c r="I28" i="3"/>
  <c r="I28" i="5" s="1"/>
  <c r="I28" i="7" s="1"/>
  <c r="J28" i="3"/>
  <c r="K28"/>
  <c r="K28" i="5" s="1"/>
  <c r="K28" i="7" s="1"/>
  <c r="L28" i="3"/>
  <c r="L28" i="5" s="1"/>
  <c r="L28" i="7" s="1"/>
  <c r="N28" i="3"/>
  <c r="N28" i="5" s="1"/>
  <c r="N28" i="7" s="1"/>
  <c r="O28" i="3"/>
  <c r="O28" i="5" s="1"/>
  <c r="O28" i="7" s="1"/>
  <c r="P28" i="3"/>
  <c r="P28" i="5" s="1"/>
  <c r="Q28" i="3"/>
  <c r="Q28" i="5" s="1"/>
  <c r="Q28" i="7" s="1"/>
  <c r="V28" i="3"/>
  <c r="A29"/>
  <c r="A29" i="5" s="1"/>
  <c r="A29" i="7" s="1"/>
  <c r="B29" i="3"/>
  <c r="B29" i="5" s="1"/>
  <c r="B29" i="7" s="1"/>
  <c r="C29" i="3"/>
  <c r="D29"/>
  <c r="D29" i="5" s="1"/>
  <c r="D29" i="7" s="1"/>
  <c r="E29" i="3"/>
  <c r="E29" i="5" s="1"/>
  <c r="F29" i="3"/>
  <c r="F29" i="5" s="1"/>
  <c r="F29" i="7" s="1"/>
  <c r="G29" i="3"/>
  <c r="G29" i="5" s="1"/>
  <c r="G29" i="7" s="1"/>
  <c r="H29" i="3"/>
  <c r="H29" i="5" s="1"/>
  <c r="H29" i="7" s="1"/>
  <c r="I29" i="3"/>
  <c r="I29" i="5" s="1"/>
  <c r="I29" i="7" s="1"/>
  <c r="J29" i="3"/>
  <c r="K29"/>
  <c r="K29" i="5" s="1"/>
  <c r="K29" i="7" s="1"/>
  <c r="L29" i="3"/>
  <c r="L29" i="5" s="1"/>
  <c r="L29" i="7" s="1"/>
  <c r="N29" i="3"/>
  <c r="N29" i="5" s="1"/>
  <c r="N29" i="7" s="1"/>
  <c r="O29" i="3"/>
  <c r="O29" i="5" s="1"/>
  <c r="O29" i="7" s="1"/>
  <c r="P29" i="3"/>
  <c r="P29" i="5" s="1"/>
  <c r="Q29" i="3"/>
  <c r="Q29" i="5" s="1"/>
  <c r="Q29" i="7" s="1"/>
  <c r="V29" i="3"/>
  <c r="V29" i="5" s="1"/>
  <c r="V29" i="7" s="1"/>
  <c r="A30" i="3"/>
  <c r="A30" i="5" s="1"/>
  <c r="A30" i="7" s="1"/>
  <c r="B30" i="3"/>
  <c r="B30" i="5" s="1"/>
  <c r="B30" i="7" s="1"/>
  <c r="C30" i="3"/>
  <c r="D30"/>
  <c r="D30" i="5" s="1"/>
  <c r="D30" i="7" s="1"/>
  <c r="E30" i="3"/>
  <c r="E30" i="5" s="1"/>
  <c r="E30" i="7" s="1"/>
  <c r="F30" i="3"/>
  <c r="F30" i="5" s="1"/>
  <c r="F30" i="7" s="1"/>
  <c r="G30" i="3"/>
  <c r="G30" i="5" s="1"/>
  <c r="G30" i="7" s="1"/>
  <c r="H30" i="3"/>
  <c r="H30" i="5" s="1"/>
  <c r="H30" i="7" s="1"/>
  <c r="I30" i="3"/>
  <c r="I30" i="5" s="1"/>
  <c r="I30" i="7" s="1"/>
  <c r="J30" i="3"/>
  <c r="K30"/>
  <c r="K30" i="5" s="1"/>
  <c r="K30" i="7" s="1"/>
  <c r="L30" i="3"/>
  <c r="L30" i="5" s="1"/>
  <c r="L30" i="7" s="1"/>
  <c r="N30" i="3"/>
  <c r="N30" i="5" s="1"/>
  <c r="N30" i="7" s="1"/>
  <c r="O30" i="3"/>
  <c r="O30" i="5" s="1"/>
  <c r="O30" i="7" s="1"/>
  <c r="P30" i="3"/>
  <c r="P30" i="5" s="1"/>
  <c r="Q30" i="3"/>
  <c r="Q30" i="5" s="1"/>
  <c r="Q30" i="7" s="1"/>
  <c r="V30" i="3"/>
  <c r="V30" i="5" s="1"/>
  <c r="V30" i="7" s="1"/>
  <c r="A31" i="3"/>
  <c r="A31" i="5" s="1"/>
  <c r="A31" i="7" s="1"/>
  <c r="B31" i="3"/>
  <c r="B31" i="5" s="1"/>
  <c r="B31" i="7" s="1"/>
  <c r="C31" i="3"/>
  <c r="D31"/>
  <c r="D31" i="5" s="1"/>
  <c r="D31" i="7" s="1"/>
  <c r="E31" i="3"/>
  <c r="E31" i="5" s="1"/>
  <c r="F31" i="3"/>
  <c r="F31" i="5" s="1"/>
  <c r="F31" i="7" s="1"/>
  <c r="G31" i="3"/>
  <c r="G31" i="5" s="1"/>
  <c r="G31" i="7" s="1"/>
  <c r="H31" i="3"/>
  <c r="H31" i="5" s="1"/>
  <c r="H31" i="7" s="1"/>
  <c r="I31" i="3"/>
  <c r="I31" i="5" s="1"/>
  <c r="I31" i="7" s="1"/>
  <c r="J31" i="3"/>
  <c r="K31"/>
  <c r="K31" i="5" s="1"/>
  <c r="K31" i="7" s="1"/>
  <c r="L31" i="3"/>
  <c r="L31" i="5" s="1"/>
  <c r="L31" i="7" s="1"/>
  <c r="N31" i="3"/>
  <c r="N31" i="5" s="1"/>
  <c r="N31" i="7" s="1"/>
  <c r="P31" i="3"/>
  <c r="P31" i="5" s="1"/>
  <c r="Q31" i="3"/>
  <c r="Q31" i="5" s="1"/>
  <c r="Q31" i="7" s="1"/>
  <c r="V31" i="3"/>
  <c r="V31" i="5" s="1"/>
  <c r="V31" i="7" s="1"/>
  <c r="A33" i="3"/>
  <c r="A33" i="5" s="1"/>
  <c r="A33" i="7" s="1"/>
  <c r="B33" i="3"/>
  <c r="B33" i="5" s="1"/>
  <c r="B33" i="7" s="1"/>
  <c r="C33" i="3"/>
  <c r="D33"/>
  <c r="D33" i="5" s="1"/>
  <c r="D33" i="7" s="1"/>
  <c r="E33" i="3"/>
  <c r="E33" i="5" s="1"/>
  <c r="F33" i="3"/>
  <c r="F33" i="5" s="1"/>
  <c r="F33" i="7" s="1"/>
  <c r="G33" i="3"/>
  <c r="G33" i="5" s="1"/>
  <c r="G33" i="7" s="1"/>
  <c r="H33" i="3"/>
  <c r="H33" i="5" s="1"/>
  <c r="H33" i="7" s="1"/>
  <c r="I33" i="3"/>
  <c r="I33" i="5" s="1"/>
  <c r="I33" i="7" s="1"/>
  <c r="J33" i="3"/>
  <c r="K33"/>
  <c r="K33" i="5" s="1"/>
  <c r="K33" i="7" s="1"/>
  <c r="L33" i="3"/>
  <c r="L33" i="5" s="1"/>
  <c r="L33" i="7" s="1"/>
  <c r="O33" i="3"/>
  <c r="O33" i="5" s="1"/>
  <c r="O33" i="7" s="1"/>
  <c r="P33" i="3"/>
  <c r="P33" i="5" s="1"/>
  <c r="Q33" i="3"/>
  <c r="Q33" i="5" s="1"/>
  <c r="Q33" i="7" s="1"/>
  <c r="V33" i="3"/>
  <c r="A34"/>
  <c r="A34" i="5" s="1"/>
  <c r="A34" i="7" s="1"/>
  <c r="B34" i="3"/>
  <c r="B34" i="5" s="1"/>
  <c r="B34" i="7" s="1"/>
  <c r="C34" i="3"/>
  <c r="D34"/>
  <c r="D34" i="5" s="1"/>
  <c r="D34" i="7" s="1"/>
  <c r="E34" i="3"/>
  <c r="E34" i="5" s="1"/>
  <c r="E34" i="7" s="1"/>
  <c r="F34" i="3"/>
  <c r="F34" i="5" s="1"/>
  <c r="F34" i="7" s="1"/>
  <c r="G34" i="3"/>
  <c r="G34" i="5" s="1"/>
  <c r="G34" i="7" s="1"/>
  <c r="H34" i="3"/>
  <c r="H34" i="5" s="1"/>
  <c r="H34" i="7" s="1"/>
  <c r="I34" i="3"/>
  <c r="I34" i="5" s="1"/>
  <c r="I34" i="7" s="1"/>
  <c r="J34" i="3"/>
  <c r="K34"/>
  <c r="K34" i="5" s="1"/>
  <c r="K34" i="7" s="1"/>
  <c r="L34" i="3"/>
  <c r="L34" i="5" s="1"/>
  <c r="L34" i="7" s="1"/>
  <c r="N34" i="3"/>
  <c r="N34" i="5" s="1"/>
  <c r="N34" i="7" s="1"/>
  <c r="O34" i="3"/>
  <c r="O34" i="5" s="1"/>
  <c r="O34" i="7" s="1"/>
  <c r="P34" i="3"/>
  <c r="P34" i="5" s="1"/>
  <c r="Q34" i="3"/>
  <c r="Q34" i="5" s="1"/>
  <c r="Q34" i="7" s="1"/>
  <c r="V34" i="3"/>
  <c r="V34" i="5" s="1"/>
  <c r="A35" i="3"/>
  <c r="A35" i="5" s="1"/>
  <c r="A35" i="7" s="1"/>
  <c r="B35" i="3"/>
  <c r="B35" i="5" s="1"/>
  <c r="B35" i="7" s="1"/>
  <c r="C35" i="3"/>
  <c r="D35"/>
  <c r="D35" i="5" s="1"/>
  <c r="D35" i="7" s="1"/>
  <c r="E35" i="3"/>
  <c r="E35" i="5" s="1"/>
  <c r="E35" i="7" s="1"/>
  <c r="F35" i="3"/>
  <c r="F35" i="5" s="1"/>
  <c r="F35" i="7" s="1"/>
  <c r="G35" i="3"/>
  <c r="G35" i="5" s="1"/>
  <c r="G35" i="7" s="1"/>
  <c r="H35" i="3"/>
  <c r="H35" i="5" s="1"/>
  <c r="H35" i="7" s="1"/>
  <c r="I35" i="3"/>
  <c r="I35" i="5" s="1"/>
  <c r="I35" i="7" s="1"/>
  <c r="J35" i="3"/>
  <c r="K35"/>
  <c r="K35" i="5" s="1"/>
  <c r="K35" i="7" s="1"/>
  <c r="L35" i="3"/>
  <c r="L35" i="5" s="1"/>
  <c r="L35" i="7" s="1"/>
  <c r="P35" i="3"/>
  <c r="P35" i="5" s="1"/>
  <c r="Q35" i="3"/>
  <c r="Q35" i="5" s="1"/>
  <c r="Q35" i="7" s="1"/>
  <c r="V35" i="3"/>
  <c r="A36"/>
  <c r="A36" i="5" s="1"/>
  <c r="A36" i="7" s="1"/>
  <c r="B36" i="3"/>
  <c r="B36" i="5" s="1"/>
  <c r="B36" i="7" s="1"/>
  <c r="C36" i="3"/>
  <c r="D36"/>
  <c r="D36" i="5" s="1"/>
  <c r="D36" i="7" s="1"/>
  <c r="E36" i="3"/>
  <c r="E36" i="5" s="1"/>
  <c r="F36" i="3"/>
  <c r="F36" i="5" s="1"/>
  <c r="F36" i="7" s="1"/>
  <c r="G36" i="3"/>
  <c r="G36" i="5" s="1"/>
  <c r="G36" i="7" s="1"/>
  <c r="H36" i="3"/>
  <c r="H36" i="5" s="1"/>
  <c r="H36" i="7" s="1"/>
  <c r="I36" i="3"/>
  <c r="I36" i="5" s="1"/>
  <c r="I36" i="7" s="1"/>
  <c r="J36" i="3"/>
  <c r="K36"/>
  <c r="K36" i="5" s="1"/>
  <c r="K36" i="7" s="1"/>
  <c r="L36" i="3"/>
  <c r="L36" i="5" s="1"/>
  <c r="L36" i="7" s="1"/>
  <c r="N36" i="3"/>
  <c r="N36" i="5" s="1"/>
  <c r="N36" i="7" s="1"/>
  <c r="O36" i="3"/>
  <c r="O36" i="5" s="1"/>
  <c r="O36" i="7" s="1"/>
  <c r="P36" i="3"/>
  <c r="P36" i="5" s="1"/>
  <c r="Q36" i="3"/>
  <c r="Q36" i="5" s="1"/>
  <c r="Q36" i="7" s="1"/>
  <c r="A37" i="3"/>
  <c r="A37" i="5" s="1"/>
  <c r="A37" i="7" s="1"/>
  <c r="B37" i="3"/>
  <c r="B37" i="5" s="1"/>
  <c r="B37" i="7" s="1"/>
  <c r="C37" i="3"/>
  <c r="D37"/>
  <c r="D37" i="5" s="1"/>
  <c r="D37" i="7" s="1"/>
  <c r="E37" i="3"/>
  <c r="E37" i="5" s="1"/>
  <c r="E37" i="7" s="1"/>
  <c r="F37" i="3"/>
  <c r="F37" i="5" s="1"/>
  <c r="F37" i="7" s="1"/>
  <c r="G37" i="3"/>
  <c r="G37" i="5" s="1"/>
  <c r="G37" i="7" s="1"/>
  <c r="H37" i="3"/>
  <c r="H37" i="5" s="1"/>
  <c r="H37" i="7" s="1"/>
  <c r="I37" i="3"/>
  <c r="I37" i="5" s="1"/>
  <c r="I37" i="7" s="1"/>
  <c r="J37" i="3"/>
  <c r="K37"/>
  <c r="K37" i="5" s="1"/>
  <c r="K37" i="7" s="1"/>
  <c r="L37" i="3"/>
  <c r="L37" i="5" s="1"/>
  <c r="L37" i="7" s="1"/>
  <c r="N37" i="3"/>
  <c r="N37" i="5" s="1"/>
  <c r="N37" i="7" s="1"/>
  <c r="O37" i="3"/>
  <c r="O37" i="5" s="1"/>
  <c r="O37" i="7" s="1"/>
  <c r="P37" i="3"/>
  <c r="P37" i="5" s="1"/>
  <c r="Q37" i="3"/>
  <c r="Q37" i="5" s="1"/>
  <c r="Q37" i="7" s="1"/>
  <c r="V37" i="3"/>
  <c r="V37" i="5" s="1"/>
  <c r="V37" i="7" s="1"/>
  <c r="A38" i="3"/>
  <c r="A38" i="5" s="1"/>
  <c r="A38" i="7" s="1"/>
  <c r="B38" i="3"/>
  <c r="B38" i="5" s="1"/>
  <c r="B38" i="7" s="1"/>
  <c r="C38" i="3"/>
  <c r="D38"/>
  <c r="D38" i="5" s="1"/>
  <c r="D38" i="7" s="1"/>
  <c r="E38" i="3"/>
  <c r="E38" i="5" s="1"/>
  <c r="F38" i="3"/>
  <c r="F38" i="5" s="1"/>
  <c r="F38" i="7" s="1"/>
  <c r="J38" i="3"/>
  <c r="K38"/>
  <c r="K38" i="5" s="1"/>
  <c r="K38" i="7" s="1"/>
  <c r="L38" i="3"/>
  <c r="L38" i="5" s="1"/>
  <c r="L38" i="7" s="1"/>
  <c r="N38" i="3"/>
  <c r="N38" i="5" s="1"/>
  <c r="N38" i="7" s="1"/>
  <c r="O38" i="3"/>
  <c r="O38" i="5" s="1"/>
  <c r="O38" i="7" s="1"/>
  <c r="P38" i="3"/>
  <c r="P38" i="5" s="1"/>
  <c r="Q38" i="3"/>
  <c r="Q38" i="5" s="1"/>
  <c r="Q38" i="7" s="1"/>
  <c r="V38" i="3"/>
  <c r="V38" i="5" s="1"/>
  <c r="V38" i="7" s="1"/>
  <c r="A39" i="3"/>
  <c r="A39" i="5" s="1"/>
  <c r="A39" i="7" s="1"/>
  <c r="B39" i="3"/>
  <c r="B39" i="5" s="1"/>
  <c r="B39" i="7" s="1"/>
  <c r="C39" i="3"/>
  <c r="D39"/>
  <c r="D39" i="5" s="1"/>
  <c r="D39" i="7" s="1"/>
  <c r="E39" i="3"/>
  <c r="E39" i="5" s="1"/>
  <c r="F39" i="3"/>
  <c r="F39" i="5" s="1"/>
  <c r="F39" i="7" s="1"/>
  <c r="G39" i="3"/>
  <c r="G39" i="5" s="1"/>
  <c r="G39" i="7" s="1"/>
  <c r="H39" i="3"/>
  <c r="H39" i="5" s="1"/>
  <c r="H39" i="7" s="1"/>
  <c r="I39" i="3"/>
  <c r="I39" i="5" s="1"/>
  <c r="I39" i="7" s="1"/>
  <c r="J39" i="3"/>
  <c r="K39"/>
  <c r="K39" i="5" s="1"/>
  <c r="K39" i="7" s="1"/>
  <c r="L39" i="3"/>
  <c r="L39" i="5" s="1"/>
  <c r="L39" i="7" s="1"/>
  <c r="O39" i="3"/>
  <c r="O39" i="5" s="1"/>
  <c r="O39" i="7" s="1"/>
  <c r="P39" i="3"/>
  <c r="P39" i="5" s="1"/>
  <c r="Q39" i="3"/>
  <c r="Q39" i="5" s="1"/>
  <c r="Q39" i="7" s="1"/>
  <c r="V39" i="3"/>
  <c r="A40"/>
  <c r="A40" i="5" s="1"/>
  <c r="A40" i="7" s="1"/>
  <c r="B40" i="3"/>
  <c r="B40" i="5" s="1"/>
  <c r="B40" i="7" s="1"/>
  <c r="C40" i="3"/>
  <c r="D40"/>
  <c r="D40" i="5" s="1"/>
  <c r="D40" i="7" s="1"/>
  <c r="E40" i="3"/>
  <c r="E40" i="5" s="1"/>
  <c r="F40" i="3"/>
  <c r="F40" i="5" s="1"/>
  <c r="F40" i="7" s="1"/>
  <c r="G40" i="3"/>
  <c r="G40" i="5" s="1"/>
  <c r="G40" i="7" s="1"/>
  <c r="H40" i="3"/>
  <c r="H40" i="5" s="1"/>
  <c r="H40" i="7" s="1"/>
  <c r="I40" i="3"/>
  <c r="I40" i="5" s="1"/>
  <c r="I40" i="7" s="1"/>
  <c r="J40" i="3"/>
  <c r="J40" i="5" s="1"/>
  <c r="J40" i="7" s="1"/>
  <c r="K40" i="3"/>
  <c r="L40"/>
  <c r="L40" i="5" s="1"/>
  <c r="L40" i="7" s="1"/>
  <c r="N40" i="3"/>
  <c r="N40" i="5" s="1"/>
  <c r="N40" i="7" s="1"/>
  <c r="O40" i="3"/>
  <c r="O40" i="5" s="1"/>
  <c r="O40" i="7" s="1"/>
  <c r="P40" i="3"/>
  <c r="P40" i="5" s="1"/>
  <c r="Q40" i="3"/>
  <c r="Q40" i="5" s="1"/>
  <c r="Q40" i="7" s="1"/>
  <c r="A41" i="3"/>
  <c r="A41" i="5" s="1"/>
  <c r="A41" i="7" s="1"/>
  <c r="B41" i="3"/>
  <c r="B41" i="5" s="1"/>
  <c r="B41" i="7" s="1"/>
  <c r="C41" i="3"/>
  <c r="D41"/>
  <c r="D41" i="5" s="1"/>
  <c r="D41" i="7" s="1"/>
  <c r="E41" i="3"/>
  <c r="E41" i="5" s="1"/>
  <c r="E41" i="7" s="1"/>
  <c r="F41" i="3"/>
  <c r="F41" i="5" s="1"/>
  <c r="F41" i="7" s="1"/>
  <c r="G41" i="3"/>
  <c r="G41" i="5" s="1"/>
  <c r="G41" i="7" s="1"/>
  <c r="H41" i="3"/>
  <c r="H41" i="5" s="1"/>
  <c r="H41" i="7" s="1"/>
  <c r="I41" i="3"/>
  <c r="I41" i="5" s="1"/>
  <c r="I41" i="7" s="1"/>
  <c r="J41" i="3"/>
  <c r="K41"/>
  <c r="K41" i="5" s="1"/>
  <c r="K41" i="7" s="1"/>
  <c r="L41" i="3"/>
  <c r="L41" i="5" s="1"/>
  <c r="L41" i="7" s="1"/>
  <c r="N41" i="3"/>
  <c r="N41" i="5" s="1"/>
  <c r="N41" i="7" s="1"/>
  <c r="O41" i="3"/>
  <c r="O41" i="5" s="1"/>
  <c r="O41" i="7" s="1"/>
  <c r="P41" i="3"/>
  <c r="P41" i="5" s="1"/>
  <c r="Q41" i="3"/>
  <c r="Q41" i="5" s="1"/>
  <c r="Q41" i="7" s="1"/>
  <c r="A42" i="3"/>
  <c r="A42" i="5" s="1"/>
  <c r="A42" i="7" s="1"/>
  <c r="B42" i="3"/>
  <c r="B42" i="5" s="1"/>
  <c r="B42" i="7" s="1"/>
  <c r="C42" i="3"/>
  <c r="D42"/>
  <c r="D42" i="5" s="1"/>
  <c r="D42" i="7" s="1"/>
  <c r="E42" i="3"/>
  <c r="E42" i="5" s="1"/>
  <c r="E42" i="7" s="1"/>
  <c r="F42" i="3"/>
  <c r="F42" i="5" s="1"/>
  <c r="F42" i="7" s="1"/>
  <c r="G42" i="3"/>
  <c r="G42" i="5" s="1"/>
  <c r="G42" i="7" s="1"/>
  <c r="H42" i="3"/>
  <c r="H42" i="5" s="1"/>
  <c r="H42" i="7" s="1"/>
  <c r="I42" i="3"/>
  <c r="I42" i="5" s="1"/>
  <c r="I42" i="7" s="1"/>
  <c r="J42" i="3"/>
  <c r="K42"/>
  <c r="K42" i="5" s="1"/>
  <c r="K42" i="7" s="1"/>
  <c r="L42" i="3"/>
  <c r="L42" i="5" s="1"/>
  <c r="L42" i="7" s="1"/>
  <c r="N42" i="3"/>
  <c r="N42" i="5" s="1"/>
  <c r="N42" i="7" s="1"/>
  <c r="P42" i="3"/>
  <c r="P42" i="5" s="1"/>
  <c r="Q42" i="3"/>
  <c r="Q42" i="5" s="1"/>
  <c r="Q42" i="7" s="1"/>
  <c r="A43" i="3"/>
  <c r="A43" i="5" s="1"/>
  <c r="A43" i="7" s="1"/>
  <c r="B43" i="3"/>
  <c r="B43" i="5" s="1"/>
  <c r="B43" i="7" s="1"/>
  <c r="C43" i="3"/>
  <c r="D43"/>
  <c r="D43" i="5" s="1"/>
  <c r="D43" i="7" s="1"/>
  <c r="E43" i="3"/>
  <c r="E43" i="5" s="1"/>
  <c r="E43" i="7" s="1"/>
  <c r="F43" i="3"/>
  <c r="F43" i="5" s="1"/>
  <c r="F43" i="7" s="1"/>
  <c r="G43" i="3"/>
  <c r="G43" i="5" s="1"/>
  <c r="G43" i="7" s="1"/>
  <c r="H43" i="3"/>
  <c r="H43" i="5" s="1"/>
  <c r="H43" i="7" s="1"/>
  <c r="I43" i="3"/>
  <c r="I43" i="5" s="1"/>
  <c r="I43" i="7" s="1"/>
  <c r="J43" i="3"/>
  <c r="K43"/>
  <c r="K43" i="5" s="1"/>
  <c r="K43" i="7" s="1"/>
  <c r="L43" i="3"/>
  <c r="L43" i="5" s="1"/>
  <c r="L43" i="7" s="1"/>
  <c r="N43" i="3"/>
  <c r="N43" i="5" s="1"/>
  <c r="N43" i="7" s="1"/>
  <c r="O43" i="3"/>
  <c r="O43" i="5" s="1"/>
  <c r="O43" i="7" s="1"/>
  <c r="P43" i="3"/>
  <c r="P43" i="5" s="1"/>
  <c r="Q43" i="3"/>
  <c r="Q43" i="5" s="1"/>
  <c r="Q43" i="7" s="1"/>
  <c r="A44" i="3"/>
  <c r="A44" i="5" s="1"/>
  <c r="A44" i="7" s="1"/>
  <c r="B44" i="3"/>
  <c r="B44" i="5" s="1"/>
  <c r="B44" i="7" s="1"/>
  <c r="C44" i="3"/>
  <c r="D44"/>
  <c r="D44" i="5" s="1"/>
  <c r="D44" i="7" s="1"/>
  <c r="E44" i="3"/>
  <c r="E44" i="5" s="1"/>
  <c r="F44" i="3"/>
  <c r="F44" i="5" s="1"/>
  <c r="F44" i="7" s="1"/>
  <c r="G44" i="3"/>
  <c r="G44" i="5" s="1"/>
  <c r="G44" i="7" s="1"/>
  <c r="H44" i="3"/>
  <c r="H44" i="5" s="1"/>
  <c r="H44" i="7" s="1"/>
  <c r="I44" i="3"/>
  <c r="I44" i="5" s="1"/>
  <c r="I44" i="7" s="1"/>
  <c r="J44" i="3"/>
  <c r="K44"/>
  <c r="K44" i="5" s="1"/>
  <c r="K44" i="7" s="1"/>
  <c r="L44" i="3"/>
  <c r="L44" i="5" s="1"/>
  <c r="L44" i="7" s="1"/>
  <c r="O44" i="3"/>
  <c r="O44" i="5" s="1"/>
  <c r="O44" i="7" s="1"/>
  <c r="P44" i="3"/>
  <c r="P44" i="5" s="1"/>
  <c r="Q44" i="3"/>
  <c r="Q44" i="5" s="1"/>
  <c r="Q44" i="7" s="1"/>
  <c r="A45" i="3"/>
  <c r="A45" i="5" s="1"/>
  <c r="A45" i="7" s="1"/>
  <c r="B45" i="3"/>
  <c r="B45" i="5" s="1"/>
  <c r="B45" i="7" s="1"/>
  <c r="C45" i="3"/>
  <c r="D45"/>
  <c r="D45" i="5" s="1"/>
  <c r="D45" i="7" s="1"/>
  <c r="E45" i="3"/>
  <c r="E45" i="5" s="1"/>
  <c r="F45" i="3"/>
  <c r="F45" i="5" s="1"/>
  <c r="F45" i="7" s="1"/>
  <c r="G45" i="3"/>
  <c r="G45" i="5" s="1"/>
  <c r="G45" i="7" s="1"/>
  <c r="H45" i="3"/>
  <c r="H45" i="5" s="1"/>
  <c r="H45" i="7" s="1"/>
  <c r="I45" i="3"/>
  <c r="I45" i="5" s="1"/>
  <c r="I45" i="7" s="1"/>
  <c r="J45" i="3"/>
  <c r="K45"/>
  <c r="K45" i="5" s="1"/>
  <c r="K45" i="7" s="1"/>
  <c r="L45" i="3"/>
  <c r="L45" i="5" s="1"/>
  <c r="L45" i="7" s="1"/>
  <c r="N45" i="3"/>
  <c r="N45" i="5" s="1"/>
  <c r="N45" i="7" s="1"/>
  <c r="P45" i="3"/>
  <c r="P45" i="5" s="1"/>
  <c r="Q45" i="3"/>
  <c r="Q45" i="5" s="1"/>
  <c r="Q45" i="7" s="1"/>
  <c r="A46" i="3"/>
  <c r="A46" i="5" s="1"/>
  <c r="A46" i="7" s="1"/>
  <c r="B46" i="3"/>
  <c r="B46" i="5" s="1"/>
  <c r="B46" i="7" s="1"/>
  <c r="C46" i="3"/>
  <c r="D46"/>
  <c r="D46" i="5" s="1"/>
  <c r="D46" i="7" s="1"/>
  <c r="E46" i="3"/>
  <c r="E46" i="5" s="1"/>
  <c r="E46" i="7" s="1"/>
  <c r="F46" i="3"/>
  <c r="F46" i="5" s="1"/>
  <c r="F46" i="7" s="1"/>
  <c r="G46" i="3"/>
  <c r="G46" i="5" s="1"/>
  <c r="G46" i="7" s="1"/>
  <c r="H46" i="3"/>
  <c r="H46" i="5" s="1"/>
  <c r="H46" i="7" s="1"/>
  <c r="I46" i="3"/>
  <c r="I46" i="5" s="1"/>
  <c r="I46" i="7" s="1"/>
  <c r="J46" i="3"/>
  <c r="K46"/>
  <c r="K46" i="5" s="1"/>
  <c r="K46" i="7" s="1"/>
  <c r="L46" i="3"/>
  <c r="L46" i="5" s="1"/>
  <c r="L46" i="7" s="1"/>
  <c r="N46" i="3"/>
  <c r="N46" i="5" s="1"/>
  <c r="N46" i="7" s="1"/>
  <c r="O46" i="3"/>
  <c r="O46" i="5" s="1"/>
  <c r="O46" i="7" s="1"/>
  <c r="P46" i="3"/>
  <c r="P46" i="5" s="1"/>
  <c r="Q46" i="3"/>
  <c r="Q46" i="5" s="1"/>
  <c r="Q46" i="7" s="1"/>
  <c r="A47" i="3"/>
  <c r="A47" i="5" s="1"/>
  <c r="A47" i="7" s="1"/>
  <c r="B47" i="3"/>
  <c r="B47" i="5" s="1"/>
  <c r="B47" i="7" s="1"/>
  <c r="C47" i="3"/>
  <c r="D47"/>
  <c r="D47" i="5" s="1"/>
  <c r="D47" i="7" s="1"/>
  <c r="E47" i="3"/>
  <c r="E47" i="5" s="1"/>
  <c r="E47" i="7" s="1"/>
  <c r="F47" i="3"/>
  <c r="F47" i="5" s="1"/>
  <c r="F47" i="7" s="1"/>
  <c r="G47" i="3"/>
  <c r="G47" i="5" s="1"/>
  <c r="G47" i="7" s="1"/>
  <c r="H47" i="3"/>
  <c r="H47" i="5" s="1"/>
  <c r="H47" i="7" s="1"/>
  <c r="I47" i="3"/>
  <c r="I47" i="5" s="1"/>
  <c r="I47" i="7" s="1"/>
  <c r="J47" i="3"/>
  <c r="K47"/>
  <c r="K47" i="5" s="1"/>
  <c r="K47" i="7" s="1"/>
  <c r="L47" i="3"/>
  <c r="L47" i="5" s="1"/>
  <c r="L47" i="7" s="1"/>
  <c r="N47" i="3"/>
  <c r="N47" i="5" s="1"/>
  <c r="N47" i="7" s="1"/>
  <c r="O47" i="3"/>
  <c r="O47" i="5" s="1"/>
  <c r="O47" i="7" s="1"/>
  <c r="P47" i="3"/>
  <c r="P47" i="5" s="1"/>
  <c r="Q47" i="3"/>
  <c r="Q47" i="5" s="1"/>
  <c r="Q47" i="7" s="1"/>
  <c r="A48" i="3"/>
  <c r="A48" i="5" s="1"/>
  <c r="A48" i="7" s="1"/>
  <c r="B48" i="3"/>
  <c r="B48" i="5" s="1"/>
  <c r="B48" i="7" s="1"/>
  <c r="C48" i="3"/>
  <c r="D48"/>
  <c r="D48" i="5" s="1"/>
  <c r="D48" i="7" s="1"/>
  <c r="E48" i="3"/>
  <c r="E48" i="5" s="1"/>
  <c r="E48" i="7" s="1"/>
  <c r="F48" i="3"/>
  <c r="F48" i="5" s="1"/>
  <c r="F48" i="7" s="1"/>
  <c r="G48" i="3"/>
  <c r="G48" i="5" s="1"/>
  <c r="G48" i="7" s="1"/>
  <c r="H48" i="3"/>
  <c r="H48" i="5" s="1"/>
  <c r="H48" i="7" s="1"/>
  <c r="I48" i="3"/>
  <c r="I48" i="5" s="1"/>
  <c r="I48" i="7" s="1"/>
  <c r="J48" i="3"/>
  <c r="J48" i="5" s="1"/>
  <c r="J48" i="7" s="1"/>
  <c r="K48" i="3"/>
  <c r="L48"/>
  <c r="L48" i="5" s="1"/>
  <c r="L48" i="7" s="1"/>
  <c r="N48" i="3"/>
  <c r="N48" i="5" s="1"/>
  <c r="N48" i="7" s="1"/>
  <c r="O48" i="3"/>
  <c r="O48" i="5" s="1"/>
  <c r="O48" i="7" s="1"/>
  <c r="P48" i="3"/>
  <c r="P48" i="5" s="1"/>
  <c r="Q48" i="3"/>
  <c r="Q48" i="5" s="1"/>
  <c r="Q48" i="7" s="1"/>
  <c r="A49" i="3"/>
  <c r="A49" i="5" s="1"/>
  <c r="A49" i="7" s="1"/>
  <c r="B49" i="3"/>
  <c r="B49" i="5" s="1"/>
  <c r="B49" i="7" s="1"/>
  <c r="C49" i="3"/>
  <c r="D49"/>
  <c r="D49" i="5" s="1"/>
  <c r="D49" i="7" s="1"/>
  <c r="E49" i="3"/>
  <c r="E49" i="5" s="1"/>
  <c r="E49" i="7" s="1"/>
  <c r="F49" i="3"/>
  <c r="F49" i="5" s="1"/>
  <c r="F49" i="7" s="1"/>
  <c r="G49" i="3"/>
  <c r="G49" i="5" s="1"/>
  <c r="G49" i="7" s="1"/>
  <c r="H49" i="3"/>
  <c r="H49" i="5" s="1"/>
  <c r="H49" i="7" s="1"/>
  <c r="I49" i="3"/>
  <c r="I49" i="5" s="1"/>
  <c r="I49" i="7" s="1"/>
  <c r="J49" i="3"/>
  <c r="K49"/>
  <c r="K49" i="5" s="1"/>
  <c r="K49" i="7" s="1"/>
  <c r="L49" i="3"/>
  <c r="L49" i="5" s="1"/>
  <c r="L49" i="7" s="1"/>
  <c r="P49" i="3"/>
  <c r="P49" i="5" s="1"/>
  <c r="Q49" i="3"/>
  <c r="Q49" i="5" s="1"/>
  <c r="Q49" i="7" s="1"/>
  <c r="A50" i="3"/>
  <c r="A50" i="5" s="1"/>
  <c r="A50" i="7" s="1"/>
  <c r="B50" i="3"/>
  <c r="B50" i="5" s="1"/>
  <c r="B50" i="7" s="1"/>
  <c r="C50" i="3"/>
  <c r="D50"/>
  <c r="D50" i="5" s="1"/>
  <c r="D50" i="7" s="1"/>
  <c r="E50" i="3"/>
  <c r="E50" i="5" s="1"/>
  <c r="E50" i="7" s="1"/>
  <c r="F50" i="3"/>
  <c r="F50" i="5" s="1"/>
  <c r="F50" i="7" s="1"/>
  <c r="G50" i="3"/>
  <c r="G50" i="5" s="1"/>
  <c r="G50" i="7" s="1"/>
  <c r="H50" i="3"/>
  <c r="H50" i="5" s="1"/>
  <c r="H50" i="7" s="1"/>
  <c r="I50" i="3"/>
  <c r="I50" i="5" s="1"/>
  <c r="I50" i="7" s="1"/>
  <c r="J50" i="3"/>
  <c r="K50"/>
  <c r="K50" i="5" s="1"/>
  <c r="K50" i="7" s="1"/>
  <c r="L50" i="3"/>
  <c r="L50" i="5" s="1"/>
  <c r="L50" i="7" s="1"/>
  <c r="N50" i="3"/>
  <c r="N50" i="5" s="1"/>
  <c r="N50" i="7" s="1"/>
  <c r="O50" i="3"/>
  <c r="O50" i="5" s="1"/>
  <c r="O50" i="7" s="1"/>
  <c r="P50" i="3"/>
  <c r="P50" i="5" s="1"/>
  <c r="Q50" i="3"/>
  <c r="Q50" i="5" s="1"/>
  <c r="Q50" i="7" s="1"/>
  <c r="A51" i="3"/>
  <c r="A51" i="5" s="1"/>
  <c r="A51" i="7" s="1"/>
  <c r="B51" i="3"/>
  <c r="B51" i="5" s="1"/>
  <c r="B51" i="7" s="1"/>
  <c r="C51" i="3"/>
  <c r="D51"/>
  <c r="D51" i="5" s="1"/>
  <c r="D51" i="7" s="1"/>
  <c r="E51" i="3"/>
  <c r="E51" i="5" s="1"/>
  <c r="E51" i="7" s="1"/>
  <c r="F51" i="3"/>
  <c r="F51" i="5" s="1"/>
  <c r="F51" i="7" s="1"/>
  <c r="G51" i="3"/>
  <c r="G51" i="5" s="1"/>
  <c r="G51" i="7" s="1"/>
  <c r="H51" i="3"/>
  <c r="H51" i="5" s="1"/>
  <c r="H51" i="7" s="1"/>
  <c r="I51" i="3"/>
  <c r="I51" i="5" s="1"/>
  <c r="I51" i="7" s="1"/>
  <c r="J51" i="3"/>
  <c r="K51"/>
  <c r="K51" i="5" s="1"/>
  <c r="K51" i="7" s="1"/>
  <c r="L51" i="3"/>
  <c r="L51" i="5" s="1"/>
  <c r="L51" i="7" s="1"/>
  <c r="N51" i="3"/>
  <c r="N51" i="5" s="1"/>
  <c r="N51" i="7" s="1"/>
  <c r="O51" i="3"/>
  <c r="O51" i="5" s="1"/>
  <c r="P51" i="3"/>
  <c r="P51" i="5" s="1"/>
  <c r="Q51" i="3"/>
  <c r="Q51" i="5" s="1"/>
  <c r="Q51" i="7" s="1"/>
  <c r="A52" i="3"/>
  <c r="A52" i="5" s="1"/>
  <c r="A52" i="7" s="1"/>
  <c r="B52" i="3"/>
  <c r="B52" i="5" s="1"/>
  <c r="B52" i="7" s="1"/>
  <c r="C52" i="3"/>
  <c r="D52"/>
  <c r="D52" i="5" s="1"/>
  <c r="D52" i="7" s="1"/>
  <c r="E52" i="3"/>
  <c r="E52" i="5" s="1"/>
  <c r="E52" i="7" s="1"/>
  <c r="F52" i="3"/>
  <c r="F52" i="5" s="1"/>
  <c r="F52" i="7" s="1"/>
  <c r="G52" i="3"/>
  <c r="G52" i="5" s="1"/>
  <c r="G52" i="7" s="1"/>
  <c r="H52" i="3"/>
  <c r="H52" i="5" s="1"/>
  <c r="H52" i="7" s="1"/>
  <c r="I52" i="3"/>
  <c r="I52" i="5" s="1"/>
  <c r="I52" i="7" s="1"/>
  <c r="J52" i="3"/>
  <c r="K52"/>
  <c r="K52" i="5" s="1"/>
  <c r="K52" i="7" s="1"/>
  <c r="L52" i="3"/>
  <c r="L52" i="5" s="1"/>
  <c r="L52" i="7" s="1"/>
  <c r="N52" i="3"/>
  <c r="N52" i="5" s="1"/>
  <c r="N52" i="7" s="1"/>
  <c r="O52" i="3"/>
  <c r="O52" i="5" s="1"/>
  <c r="O52" i="7" s="1"/>
  <c r="P52" i="3"/>
  <c r="P52" i="5" s="1"/>
  <c r="Q52" i="3"/>
  <c r="Q52" i="5" s="1"/>
  <c r="Q52" i="7" s="1"/>
  <c r="A53" i="3"/>
  <c r="A53" i="5" s="1"/>
  <c r="A53" i="7" s="1"/>
  <c r="B53" i="3"/>
  <c r="B53" i="5" s="1"/>
  <c r="B53" i="7" s="1"/>
  <c r="C53" i="3"/>
  <c r="D53"/>
  <c r="D53" i="5" s="1"/>
  <c r="D53" i="7" s="1"/>
  <c r="E53" i="3"/>
  <c r="E53" i="5" s="1"/>
  <c r="F53" i="3"/>
  <c r="F53" i="5" s="1"/>
  <c r="F53" i="7" s="1"/>
  <c r="G53" i="3"/>
  <c r="G53" i="5" s="1"/>
  <c r="G53" i="7" s="1"/>
  <c r="H53" i="3"/>
  <c r="H53" i="5" s="1"/>
  <c r="H53" i="7" s="1"/>
  <c r="I53" i="3"/>
  <c r="I53" i="5" s="1"/>
  <c r="I53" i="7" s="1"/>
  <c r="J53" i="3"/>
  <c r="K53"/>
  <c r="K53" i="5" s="1"/>
  <c r="K53" i="7" s="1"/>
  <c r="L53" i="3"/>
  <c r="L53" i="5" s="1"/>
  <c r="L53" i="7" s="1"/>
  <c r="N53" i="3"/>
  <c r="N53" i="5" s="1"/>
  <c r="N53" i="7" s="1"/>
  <c r="O53" i="3"/>
  <c r="O53" i="5" s="1"/>
  <c r="O53" i="7" s="1"/>
  <c r="P53" i="3"/>
  <c r="P53" i="5" s="1"/>
  <c r="Q53" i="3"/>
  <c r="Q53" i="5" s="1"/>
  <c r="Q53" i="7" s="1"/>
  <c r="A55" i="3"/>
  <c r="A55" i="5" s="1"/>
  <c r="A55" i="7" s="1"/>
  <c r="B55" i="3"/>
  <c r="B55" i="5" s="1"/>
  <c r="B55" i="7" s="1"/>
  <c r="C55" i="3"/>
  <c r="D55"/>
  <c r="D55" i="5" s="1"/>
  <c r="D55" i="7" s="1"/>
  <c r="E55" i="3"/>
  <c r="E55" i="5" s="1"/>
  <c r="F55" i="3"/>
  <c r="F55" i="5" s="1"/>
  <c r="F55" i="7" s="1"/>
  <c r="G55" i="5"/>
  <c r="G55" i="7" s="1"/>
  <c r="I55" i="3"/>
  <c r="I55" i="5" s="1"/>
  <c r="I55" i="7" s="1"/>
  <c r="J55" i="3"/>
  <c r="K55"/>
  <c r="K55" i="5" s="1"/>
  <c r="K55" i="7" s="1"/>
  <c r="L55" i="3"/>
  <c r="L55" i="5" s="1"/>
  <c r="L55" i="7" s="1"/>
  <c r="N55" i="3"/>
  <c r="N55" i="5" s="1"/>
  <c r="N55" i="7" s="1"/>
  <c r="O55" i="3"/>
  <c r="O55" i="5" s="1"/>
  <c r="O55" i="7" s="1"/>
  <c r="P55" i="3"/>
  <c r="P55" i="5" s="1"/>
  <c r="Q55" i="3"/>
  <c r="Q55" i="5" s="1"/>
  <c r="Q55" i="7" s="1"/>
  <c r="A56" i="3"/>
  <c r="A56" i="5" s="1"/>
  <c r="A56" i="7" s="1"/>
  <c r="B56" i="3"/>
  <c r="B56" i="5" s="1"/>
  <c r="B56" i="7" s="1"/>
  <c r="C56" i="3"/>
  <c r="D56"/>
  <c r="D56" i="5" s="1"/>
  <c r="D56" i="7" s="1"/>
  <c r="E56" i="3"/>
  <c r="E56" i="5" s="1"/>
  <c r="F56" i="3"/>
  <c r="F56" i="5" s="1"/>
  <c r="F56" i="7" s="1"/>
  <c r="G56" i="3"/>
  <c r="G56" i="5" s="1"/>
  <c r="G56" i="7" s="1"/>
  <c r="H56" i="3"/>
  <c r="H56" i="5" s="1"/>
  <c r="H56" i="7" s="1"/>
  <c r="I56" i="3"/>
  <c r="I56" i="5" s="1"/>
  <c r="I56" i="7" s="1"/>
  <c r="J56" i="3"/>
  <c r="J56" i="5" s="1"/>
  <c r="J56" i="7" s="1"/>
  <c r="K56" i="3"/>
  <c r="L56"/>
  <c r="L56" i="5" s="1"/>
  <c r="L56" i="7" s="1"/>
  <c r="P56" i="3"/>
  <c r="P56" i="5" s="1"/>
  <c r="Q56" i="3"/>
  <c r="Q56" i="5" s="1"/>
  <c r="Q56" i="7" s="1"/>
  <c r="A57" i="3"/>
  <c r="A57" i="5" s="1"/>
  <c r="A57" i="7" s="1"/>
  <c r="B57" i="3"/>
  <c r="B57" i="5" s="1"/>
  <c r="B57" i="7" s="1"/>
  <c r="C57" i="3"/>
  <c r="D57"/>
  <c r="D57" i="5" s="1"/>
  <c r="D57" i="7" s="1"/>
  <c r="E57" i="3"/>
  <c r="E57" i="5" s="1"/>
  <c r="E57" i="7" s="1"/>
  <c r="F57" i="3"/>
  <c r="F57" i="5" s="1"/>
  <c r="F57" i="7" s="1"/>
  <c r="G57" i="3"/>
  <c r="G57" i="5" s="1"/>
  <c r="G57" i="7" s="1"/>
  <c r="H57" i="3"/>
  <c r="H57" i="5" s="1"/>
  <c r="H57" i="7" s="1"/>
  <c r="I57" i="3"/>
  <c r="I57" i="5" s="1"/>
  <c r="I57" i="7" s="1"/>
  <c r="J57" i="3"/>
  <c r="K57"/>
  <c r="K57" i="5" s="1"/>
  <c r="K57" i="7" s="1"/>
  <c r="L57" i="3"/>
  <c r="L57" i="5" s="1"/>
  <c r="L57" i="7" s="1"/>
  <c r="N57" i="3"/>
  <c r="N57" i="5" s="1"/>
  <c r="N57" i="7" s="1"/>
  <c r="O57" i="3"/>
  <c r="O57" i="5" s="1"/>
  <c r="O57" i="7" s="1"/>
  <c r="P57" i="3"/>
  <c r="P57" i="5" s="1"/>
  <c r="Q57" i="3"/>
  <c r="Q57" i="5" s="1"/>
  <c r="Q57" i="7" s="1"/>
  <c r="A58" i="3"/>
  <c r="A58" i="5" s="1"/>
  <c r="A58" i="7" s="1"/>
  <c r="B58" i="3"/>
  <c r="B58" i="5" s="1"/>
  <c r="B58" i="7" s="1"/>
  <c r="C58" i="3"/>
  <c r="D58"/>
  <c r="D58" i="5" s="1"/>
  <c r="D58" i="7" s="1"/>
  <c r="E58" i="3"/>
  <c r="E58" i="5" s="1"/>
  <c r="F58" i="3"/>
  <c r="F58" i="5" s="1"/>
  <c r="F58" i="7" s="1"/>
  <c r="G58" i="3"/>
  <c r="G58" i="5" s="1"/>
  <c r="G58" i="7" s="1"/>
  <c r="H58" i="3"/>
  <c r="H58" i="5" s="1"/>
  <c r="H58" i="7" s="1"/>
  <c r="I58" i="3"/>
  <c r="I58" i="5" s="1"/>
  <c r="I58" i="7" s="1"/>
  <c r="J58" i="3"/>
  <c r="K58"/>
  <c r="K58" i="5" s="1"/>
  <c r="K58" i="7" s="1"/>
  <c r="L58" i="3"/>
  <c r="L58" i="5" s="1"/>
  <c r="L58" i="7" s="1"/>
  <c r="N58" i="3"/>
  <c r="N58" i="5" s="1"/>
  <c r="N58" i="7" s="1"/>
  <c r="O58" i="3"/>
  <c r="O58" i="5" s="1"/>
  <c r="O58" i="7" s="1"/>
  <c r="P58" i="3"/>
  <c r="P58" i="5" s="1"/>
  <c r="Q58" i="3"/>
  <c r="Q58" i="5" s="1"/>
  <c r="Q58" i="7" s="1"/>
  <c r="A59" i="3"/>
  <c r="A59" i="5" s="1"/>
  <c r="A59" i="7" s="1"/>
  <c r="B59" i="3"/>
  <c r="B59" i="5" s="1"/>
  <c r="B59" i="7" s="1"/>
  <c r="C59" i="3"/>
  <c r="D59"/>
  <c r="D59" i="5" s="1"/>
  <c r="D59" i="7" s="1"/>
  <c r="E59" i="3"/>
  <c r="E59" i="5" s="1"/>
  <c r="E59" i="7" s="1"/>
  <c r="F59" i="3"/>
  <c r="F59" i="5" s="1"/>
  <c r="F59" i="7" s="1"/>
  <c r="G59" i="3"/>
  <c r="G59" i="5" s="1"/>
  <c r="G59" i="7" s="1"/>
  <c r="H59" i="3"/>
  <c r="H59" i="5" s="1"/>
  <c r="H59" i="7" s="1"/>
  <c r="I59" i="3"/>
  <c r="I59" i="5" s="1"/>
  <c r="I59" i="7" s="1"/>
  <c r="J59" i="3"/>
  <c r="K59"/>
  <c r="K59" i="5" s="1"/>
  <c r="K59" i="7" s="1"/>
  <c r="L59" i="3"/>
  <c r="L59" i="5" s="1"/>
  <c r="L59" i="7" s="1"/>
  <c r="N59" i="3"/>
  <c r="N59" i="5" s="1"/>
  <c r="N59" i="7" s="1"/>
  <c r="O59" i="3"/>
  <c r="O59" i="5" s="1"/>
  <c r="O59" i="7" s="1"/>
  <c r="P59" i="3"/>
  <c r="P59" i="5" s="1"/>
  <c r="Q59" i="3"/>
  <c r="Q59" i="5" s="1"/>
  <c r="Q59" i="7" s="1"/>
  <c r="A60" i="3"/>
  <c r="A60" i="5" s="1"/>
  <c r="A60" i="7" s="1"/>
  <c r="B60" i="3"/>
  <c r="B60" i="5" s="1"/>
  <c r="B60" i="7" s="1"/>
  <c r="C60" i="3"/>
  <c r="D60"/>
  <c r="D60" i="5" s="1"/>
  <c r="D60" i="7" s="1"/>
  <c r="E60" i="3"/>
  <c r="E60" i="5" s="1"/>
  <c r="E60" i="7" s="1"/>
  <c r="F60" i="3"/>
  <c r="F60" i="5" s="1"/>
  <c r="F60" i="7" s="1"/>
  <c r="G60" i="3"/>
  <c r="G60" i="5" s="1"/>
  <c r="G60" i="7" s="1"/>
  <c r="H60" i="3"/>
  <c r="H60" i="5" s="1"/>
  <c r="H60" i="7" s="1"/>
  <c r="I60" i="3"/>
  <c r="I60" i="5" s="1"/>
  <c r="I60" i="7" s="1"/>
  <c r="J60" i="3"/>
  <c r="K60"/>
  <c r="K60" i="5" s="1"/>
  <c r="K60" i="7" s="1"/>
  <c r="L60" i="3"/>
  <c r="L60" i="5" s="1"/>
  <c r="L60" i="7" s="1"/>
  <c r="N60" i="3"/>
  <c r="N60" i="5" s="1"/>
  <c r="N60" i="7" s="1"/>
  <c r="O60" i="3"/>
  <c r="O60" i="5" s="1"/>
  <c r="O60" i="7" s="1"/>
  <c r="P60" i="3"/>
  <c r="P60" i="5" s="1"/>
  <c r="Q60" i="3"/>
  <c r="Q60" i="5" s="1"/>
  <c r="Q60" i="7" s="1"/>
  <c r="A61" i="3"/>
  <c r="A61" i="5" s="1"/>
  <c r="A61" i="7" s="1"/>
  <c r="B61" i="3"/>
  <c r="B61" i="5" s="1"/>
  <c r="B61" i="7" s="1"/>
  <c r="C61" i="3"/>
  <c r="D61"/>
  <c r="D61" i="5" s="1"/>
  <c r="D61" i="7" s="1"/>
  <c r="E61" i="3"/>
  <c r="E61" i="5" s="1"/>
  <c r="F61" i="3"/>
  <c r="F61" i="5" s="1"/>
  <c r="F61" i="7" s="1"/>
  <c r="G61" i="3"/>
  <c r="G61" i="5" s="1"/>
  <c r="G61" i="7" s="1"/>
  <c r="H61" i="3"/>
  <c r="H61" i="5" s="1"/>
  <c r="H61" i="7" s="1"/>
  <c r="I61" i="3"/>
  <c r="I61" i="5" s="1"/>
  <c r="I61" i="7" s="1"/>
  <c r="J61" i="3"/>
  <c r="K61"/>
  <c r="K61" i="5" s="1"/>
  <c r="K61" i="7" s="1"/>
  <c r="L61" i="3"/>
  <c r="L61" i="5" s="1"/>
  <c r="L61" i="7" s="1"/>
  <c r="N61" i="3"/>
  <c r="N61" i="5" s="1"/>
  <c r="N61" i="7" s="1"/>
  <c r="O61" i="3"/>
  <c r="O61" i="5" s="1"/>
  <c r="O61" i="7" s="1"/>
  <c r="P61" i="3"/>
  <c r="P61" i="5" s="1"/>
  <c r="Q61" i="3"/>
  <c r="Q61" i="5" s="1"/>
  <c r="Q61" i="7" s="1"/>
  <c r="A62" i="3"/>
  <c r="A62" i="5" s="1"/>
  <c r="A62" i="7" s="1"/>
  <c r="B62" i="3"/>
  <c r="B62" i="5" s="1"/>
  <c r="B62" i="7" s="1"/>
  <c r="C62" i="3"/>
  <c r="D62"/>
  <c r="D62" i="5" s="1"/>
  <c r="D62" i="7" s="1"/>
  <c r="E62" i="3"/>
  <c r="E62" i="5" s="1"/>
  <c r="E62" i="7" s="1"/>
  <c r="F62" i="3"/>
  <c r="F62" i="5" s="1"/>
  <c r="F62" i="7" s="1"/>
  <c r="G62" i="3"/>
  <c r="G62" i="5" s="1"/>
  <c r="G62" i="7" s="1"/>
  <c r="H62" i="3"/>
  <c r="H62" i="5" s="1"/>
  <c r="H62" i="7" s="1"/>
  <c r="I62" i="3"/>
  <c r="I62" i="5" s="1"/>
  <c r="I62" i="7" s="1"/>
  <c r="J62" i="3"/>
  <c r="K62"/>
  <c r="K62" i="5" s="1"/>
  <c r="K62" i="7" s="1"/>
  <c r="L62" i="3"/>
  <c r="L62" i="5" s="1"/>
  <c r="L62" i="7" s="1"/>
  <c r="N62" i="3"/>
  <c r="N62" i="5" s="1"/>
  <c r="N62" i="7" s="1"/>
  <c r="O62" i="3"/>
  <c r="O62" i="5" s="1"/>
  <c r="P62" i="3"/>
  <c r="P62" i="5" s="1"/>
  <c r="Q62" i="3"/>
  <c r="Q62" i="5" s="1"/>
  <c r="Q62" i="7" s="1"/>
  <c r="A63" i="3"/>
  <c r="A63" i="5" s="1"/>
  <c r="A63" i="7" s="1"/>
  <c r="B63" i="3"/>
  <c r="B63" i="5" s="1"/>
  <c r="B63" i="7" s="1"/>
  <c r="C63" i="3"/>
  <c r="D63"/>
  <c r="D63" i="5" s="1"/>
  <c r="D63" i="7" s="1"/>
  <c r="E63" i="3"/>
  <c r="E63" i="5" s="1"/>
  <c r="F63" i="3"/>
  <c r="F63" i="5" s="1"/>
  <c r="F63" i="7" s="1"/>
  <c r="G63" i="3"/>
  <c r="G63" i="5" s="1"/>
  <c r="G63" i="7" s="1"/>
  <c r="H63" i="3"/>
  <c r="H63" i="5" s="1"/>
  <c r="H63" i="7" s="1"/>
  <c r="J63" i="3"/>
  <c r="K63"/>
  <c r="K63" i="5" s="1"/>
  <c r="K63" i="7" s="1"/>
  <c r="L63" i="3"/>
  <c r="L63" i="5" s="1"/>
  <c r="L63" i="7" s="1"/>
  <c r="N63" i="3"/>
  <c r="N63" i="5" s="1"/>
  <c r="N63" i="7" s="1"/>
  <c r="O63" i="3"/>
  <c r="O63" i="5" s="1"/>
  <c r="O63" i="7" s="1"/>
  <c r="P63" i="3"/>
  <c r="P63" i="5" s="1"/>
  <c r="Q63" i="3"/>
  <c r="Q63" i="5" s="1"/>
  <c r="Q63" i="7" s="1"/>
  <c r="A64" i="3"/>
  <c r="A64" i="5" s="1"/>
  <c r="A64" i="7" s="1"/>
  <c r="B64" i="3"/>
  <c r="B64" i="5" s="1"/>
  <c r="B64" i="7" s="1"/>
  <c r="C64" i="3"/>
  <c r="D64"/>
  <c r="D64" i="5" s="1"/>
  <c r="D64" i="7" s="1"/>
  <c r="E64" i="3"/>
  <c r="E64" i="5" s="1"/>
  <c r="E64" i="7" s="1"/>
  <c r="F64" i="3"/>
  <c r="F64" i="5" s="1"/>
  <c r="F64" i="7" s="1"/>
  <c r="G64" i="3"/>
  <c r="G64" i="5" s="1"/>
  <c r="G64" i="7" s="1"/>
  <c r="H64" i="3"/>
  <c r="H64" i="5" s="1"/>
  <c r="H64" i="7" s="1"/>
  <c r="I64" i="3"/>
  <c r="I64" i="5" s="1"/>
  <c r="I64" i="7" s="1"/>
  <c r="J64" i="3"/>
  <c r="J64" i="5" s="1"/>
  <c r="J64" i="7" s="1"/>
  <c r="K64" i="3"/>
  <c r="L64"/>
  <c r="L64" i="5" s="1"/>
  <c r="L64" i="7" s="1"/>
  <c r="P64" s="1"/>
  <c r="N64" i="3"/>
  <c r="N64" i="5" s="1"/>
  <c r="N64" i="7" s="1"/>
  <c r="P64" i="3"/>
  <c r="P64" i="5" s="1"/>
  <c r="Q64" i="3"/>
  <c r="Q64" i="5" s="1"/>
  <c r="Q64" i="7" s="1"/>
  <c r="A65" i="3"/>
  <c r="A65" i="5" s="1"/>
  <c r="A65" i="7" s="1"/>
  <c r="B65" i="3"/>
  <c r="B65" i="5" s="1"/>
  <c r="B65" i="7" s="1"/>
  <c r="C65" i="3"/>
  <c r="D65"/>
  <c r="D65" i="5" s="1"/>
  <c r="D65" i="7" s="1"/>
  <c r="E65" i="3"/>
  <c r="E65" i="5" s="1"/>
  <c r="E65" i="7" s="1"/>
  <c r="F65" i="3"/>
  <c r="F65" i="5" s="1"/>
  <c r="F65" i="7" s="1"/>
  <c r="G65" i="3"/>
  <c r="G65" i="5" s="1"/>
  <c r="G65" i="7" s="1"/>
  <c r="H65" i="3"/>
  <c r="H65" i="5" s="1"/>
  <c r="H65" i="7" s="1"/>
  <c r="I65" i="3"/>
  <c r="I65" i="5" s="1"/>
  <c r="I65" i="7" s="1"/>
  <c r="J65" i="3"/>
  <c r="K65"/>
  <c r="K65" i="5" s="1"/>
  <c r="K65" i="7" s="1"/>
  <c r="L65" i="3"/>
  <c r="L65" i="5" s="1"/>
  <c r="L65" i="7" s="1"/>
  <c r="N65" i="3"/>
  <c r="N65" i="5" s="1"/>
  <c r="N65" i="7" s="1"/>
  <c r="O65" i="3"/>
  <c r="O65" i="5" s="1"/>
  <c r="O65" i="7" s="1"/>
  <c r="P65" i="3"/>
  <c r="P65" i="5" s="1"/>
  <c r="Q65" i="3"/>
  <c r="Q65" i="5" s="1"/>
  <c r="Q65" i="7" s="1"/>
  <c r="A66" i="3"/>
  <c r="A66" i="5" s="1"/>
  <c r="A66" i="7" s="1"/>
  <c r="B66" i="3"/>
  <c r="B66" i="5" s="1"/>
  <c r="B66" i="7" s="1"/>
  <c r="C66" i="3"/>
  <c r="D66"/>
  <c r="D66" i="5" s="1"/>
  <c r="D66" i="7" s="1"/>
  <c r="E66" i="3"/>
  <c r="E66" i="5" s="1"/>
  <c r="F66" i="3"/>
  <c r="F66" i="5" s="1"/>
  <c r="F66" i="7" s="1"/>
  <c r="G66" i="3"/>
  <c r="G66" i="5" s="1"/>
  <c r="G66" i="7" s="1"/>
  <c r="H66" i="3"/>
  <c r="H66" i="5" s="1"/>
  <c r="H66" i="7" s="1"/>
  <c r="I66" i="3"/>
  <c r="I66" i="5" s="1"/>
  <c r="I66" i="7" s="1"/>
  <c r="J66" i="3"/>
  <c r="K66"/>
  <c r="K66" i="5" s="1"/>
  <c r="K66" i="7" s="1"/>
  <c r="L66" i="3"/>
  <c r="L66" i="5" s="1"/>
  <c r="L66" i="7" s="1"/>
  <c r="N66" i="3"/>
  <c r="N66" i="5" s="1"/>
  <c r="N66" i="7" s="1"/>
  <c r="O66" i="3"/>
  <c r="O66" i="5" s="1"/>
  <c r="O66" i="7" s="1"/>
  <c r="P66" i="3"/>
  <c r="P66" i="5" s="1"/>
  <c r="Q66" i="3"/>
  <c r="Q66" i="5" s="1"/>
  <c r="Q66" i="7" s="1"/>
  <c r="A67" i="3"/>
  <c r="A67" i="5" s="1"/>
  <c r="A67" i="7" s="1"/>
  <c r="B67" i="3"/>
  <c r="B67" i="5" s="1"/>
  <c r="B67" i="7" s="1"/>
  <c r="C67" i="3"/>
  <c r="D67"/>
  <c r="D67" i="5" s="1"/>
  <c r="D67" i="7" s="1"/>
  <c r="E67" i="3"/>
  <c r="E67" i="5" s="1"/>
  <c r="F67" i="3"/>
  <c r="F67" i="5" s="1"/>
  <c r="F67" i="7" s="1"/>
  <c r="G67" i="3"/>
  <c r="G67" i="5" s="1"/>
  <c r="G67" i="7" s="1"/>
  <c r="H67" i="3"/>
  <c r="H67" i="5" s="1"/>
  <c r="H67" i="7" s="1"/>
  <c r="I67" i="3"/>
  <c r="I67" i="5" s="1"/>
  <c r="I67" i="7" s="1"/>
  <c r="J67" i="3"/>
  <c r="K67"/>
  <c r="K67" i="5" s="1"/>
  <c r="K67" i="7" s="1"/>
  <c r="L67" i="3"/>
  <c r="L67" i="5" s="1"/>
  <c r="L67" i="7" s="1"/>
  <c r="N67" i="3"/>
  <c r="N67" i="5" s="1"/>
  <c r="N67" i="7" s="1"/>
  <c r="O67" i="3"/>
  <c r="O67" i="5" s="1"/>
  <c r="O67" i="7" s="1"/>
  <c r="P67" i="3"/>
  <c r="P67" i="5" s="1"/>
  <c r="Q67" i="3"/>
  <c r="Q67" i="5" s="1"/>
  <c r="Q67" i="7" s="1"/>
  <c r="A68" i="3"/>
  <c r="A68" i="5" s="1"/>
  <c r="A68" i="7" s="1"/>
  <c r="B68" i="3"/>
  <c r="B68" i="5" s="1"/>
  <c r="B68" i="7" s="1"/>
  <c r="C68" i="3"/>
  <c r="D68"/>
  <c r="D68" i="5" s="1"/>
  <c r="D68" i="7" s="1"/>
  <c r="E68" i="3"/>
  <c r="E68" i="5" s="1"/>
  <c r="F68" i="3"/>
  <c r="F68" i="5" s="1"/>
  <c r="F68" i="7" s="1"/>
  <c r="G68" i="3"/>
  <c r="G68" i="5" s="1"/>
  <c r="G68" i="7" s="1"/>
  <c r="H68" i="3"/>
  <c r="H68" i="5" s="1"/>
  <c r="H68" i="7" s="1"/>
  <c r="I68" i="3"/>
  <c r="I68" i="5" s="1"/>
  <c r="I68" i="7" s="1"/>
  <c r="J68" i="3"/>
  <c r="K68"/>
  <c r="K68" i="5" s="1"/>
  <c r="K68" i="7" s="1"/>
  <c r="L68" i="3"/>
  <c r="L68" i="5" s="1"/>
  <c r="L68" i="7" s="1"/>
  <c r="N68" i="3"/>
  <c r="N68" i="5" s="1"/>
  <c r="N68" i="7" s="1"/>
  <c r="O68" i="3"/>
  <c r="O68" i="5" s="1"/>
  <c r="O68" i="7" s="1"/>
  <c r="P68" i="3"/>
  <c r="P68" i="5" s="1"/>
  <c r="Q68" i="3"/>
  <c r="Q68" i="5" s="1"/>
  <c r="Q68" i="7" s="1"/>
  <c r="A69" i="3"/>
  <c r="A69" i="5" s="1"/>
  <c r="A69" i="7" s="1"/>
  <c r="B69" i="3"/>
  <c r="B69" i="5" s="1"/>
  <c r="B69" i="7" s="1"/>
  <c r="C69" i="3"/>
  <c r="D69"/>
  <c r="D69" i="5" s="1"/>
  <c r="D69" i="7" s="1"/>
  <c r="E69" i="3"/>
  <c r="F69"/>
  <c r="F69" i="5" s="1"/>
  <c r="F69" i="7" s="1"/>
  <c r="G69" i="3"/>
  <c r="G69" i="5" s="1"/>
  <c r="G69" i="7" s="1"/>
  <c r="H69" i="3"/>
  <c r="H69" i="5" s="1"/>
  <c r="H69" i="7" s="1"/>
  <c r="I69" i="3"/>
  <c r="I69" i="5" s="1"/>
  <c r="I69" i="7" s="1"/>
  <c r="J69" i="3"/>
  <c r="K69"/>
  <c r="K69" i="5" s="1"/>
  <c r="K69" i="7" s="1"/>
  <c r="L69" i="3"/>
  <c r="L69" i="5" s="1"/>
  <c r="L69" i="7" s="1"/>
  <c r="P69" i="3"/>
  <c r="P69" i="5" s="1"/>
  <c r="Q69" i="3"/>
  <c r="Q69" i="5" s="1"/>
  <c r="Q69" i="7" s="1"/>
  <c r="A70" i="3"/>
  <c r="A70" i="5" s="1"/>
  <c r="A70" i="7" s="1"/>
  <c r="B70" i="3"/>
  <c r="B70" i="5" s="1"/>
  <c r="B70" i="7" s="1"/>
  <c r="C70" i="3"/>
  <c r="D70"/>
  <c r="D70" i="5" s="1"/>
  <c r="D70" i="7" s="1"/>
  <c r="E70" i="3"/>
  <c r="F70"/>
  <c r="F70" i="5" s="1"/>
  <c r="F70" i="7" s="1"/>
  <c r="G70" i="3"/>
  <c r="G70" i="5" s="1"/>
  <c r="G70" i="7" s="1"/>
  <c r="H70" i="3"/>
  <c r="H70" i="5" s="1"/>
  <c r="H70" i="7" s="1"/>
  <c r="I70" i="3"/>
  <c r="I70" i="5" s="1"/>
  <c r="I70" i="7" s="1"/>
  <c r="J70" i="3"/>
  <c r="K70"/>
  <c r="K70" i="5" s="1"/>
  <c r="K70" i="7" s="1"/>
  <c r="L70" i="3"/>
  <c r="L70" i="5" s="1"/>
  <c r="L70" i="7" s="1"/>
  <c r="N70" i="3"/>
  <c r="N70" i="5" s="1"/>
  <c r="N70" i="7" s="1"/>
  <c r="O70" i="3"/>
  <c r="O70" i="5" s="1"/>
  <c r="O70" i="7" s="1"/>
  <c r="P70" i="3"/>
  <c r="P70" i="5" s="1"/>
  <c r="Q70" i="3"/>
  <c r="Q70" i="5" s="1"/>
  <c r="Q70" i="7" s="1"/>
  <c r="A71" i="3"/>
  <c r="A71" i="5" s="1"/>
  <c r="A71" i="7" s="1"/>
  <c r="B71" i="3"/>
  <c r="B71" i="5" s="1"/>
  <c r="B71" i="7" s="1"/>
  <c r="C71" i="3"/>
  <c r="D71"/>
  <c r="D71" i="5" s="1"/>
  <c r="D71" i="7" s="1"/>
  <c r="E71" i="3"/>
  <c r="F71"/>
  <c r="F71" i="5" s="1"/>
  <c r="F71" i="7" s="1"/>
  <c r="G71" i="3"/>
  <c r="G71" i="5" s="1"/>
  <c r="G71" i="7" s="1"/>
  <c r="H71" i="3"/>
  <c r="H71" i="5" s="1"/>
  <c r="H71" i="7" s="1"/>
  <c r="I71" i="3"/>
  <c r="I71" i="5" s="1"/>
  <c r="I71" i="7" s="1"/>
  <c r="J71" i="3"/>
  <c r="K71"/>
  <c r="K71" i="5" s="1"/>
  <c r="K71" i="7" s="1"/>
  <c r="L71" i="3"/>
  <c r="L71" i="5" s="1"/>
  <c r="L71" i="7" s="1"/>
  <c r="P71" i="3"/>
  <c r="P71" i="5" s="1"/>
  <c r="Q71" i="3"/>
  <c r="Q71" i="5" s="1"/>
  <c r="Q71" i="7" s="1"/>
  <c r="A72" i="3"/>
  <c r="A72" i="5" s="1"/>
  <c r="A72" i="7" s="1"/>
  <c r="B72" i="3"/>
  <c r="B72" i="5" s="1"/>
  <c r="B72" i="7" s="1"/>
  <c r="C72" i="3"/>
  <c r="D72"/>
  <c r="D72" i="5" s="1"/>
  <c r="D72" i="7" s="1"/>
  <c r="E72" i="3"/>
  <c r="F72"/>
  <c r="F72" i="5" s="1"/>
  <c r="F72" i="7" s="1"/>
  <c r="G72" i="3"/>
  <c r="G72" i="5" s="1"/>
  <c r="G72" i="7" s="1"/>
  <c r="H72" i="3"/>
  <c r="H72" i="5" s="1"/>
  <c r="H72" i="7" s="1"/>
  <c r="I72" i="3"/>
  <c r="I72" i="5" s="1"/>
  <c r="I72" i="7" s="1"/>
  <c r="J72" i="3"/>
  <c r="J72" i="5" s="1"/>
  <c r="J72" i="7" s="1"/>
  <c r="K72" i="3"/>
  <c r="L72"/>
  <c r="L72" i="5" s="1"/>
  <c r="L72" i="7" s="1"/>
  <c r="N72" i="3"/>
  <c r="N72" i="5" s="1"/>
  <c r="N72" i="7" s="1"/>
  <c r="O72" i="3"/>
  <c r="O72" i="5" s="1"/>
  <c r="O72" i="7" s="1"/>
  <c r="P72" i="3"/>
  <c r="P72" i="5" s="1"/>
  <c r="Q72" i="3"/>
  <c r="Q72" i="5" s="1"/>
  <c r="Q72" i="7" s="1"/>
  <c r="A73" i="3"/>
  <c r="A73" i="5" s="1"/>
  <c r="A73" i="7" s="1"/>
  <c r="B73" i="3"/>
  <c r="B73" i="5" s="1"/>
  <c r="B73" i="7" s="1"/>
  <c r="C73" i="3"/>
  <c r="D73"/>
  <c r="D73" i="5" s="1"/>
  <c r="D73" i="7" s="1"/>
  <c r="E73" i="3"/>
  <c r="F73"/>
  <c r="F73" i="5" s="1"/>
  <c r="F73" i="7" s="1"/>
  <c r="G73" i="3"/>
  <c r="G73" i="5" s="1"/>
  <c r="G73" i="7" s="1"/>
  <c r="H73" i="3"/>
  <c r="H73" i="5" s="1"/>
  <c r="H73" i="7" s="1"/>
  <c r="I73" i="3"/>
  <c r="I73" i="5" s="1"/>
  <c r="I73" i="7" s="1"/>
  <c r="J73" i="3"/>
  <c r="K73"/>
  <c r="K73" i="5" s="1"/>
  <c r="K73" i="7" s="1"/>
  <c r="L73" i="3"/>
  <c r="L73" i="5" s="1"/>
  <c r="L73" i="7" s="1"/>
  <c r="P73" i="3"/>
  <c r="P73" i="5" s="1"/>
  <c r="Q73" i="3"/>
  <c r="Q73" i="5" s="1"/>
  <c r="Q73" i="7" s="1"/>
  <c r="A74" i="3"/>
  <c r="A74" i="5" s="1"/>
  <c r="A74" i="7" s="1"/>
  <c r="B74" i="3"/>
  <c r="B74" i="5" s="1"/>
  <c r="B74" i="7" s="1"/>
  <c r="C74" i="3"/>
  <c r="D74"/>
  <c r="D74" i="5" s="1"/>
  <c r="D74" i="7" s="1"/>
  <c r="E74" i="3"/>
  <c r="F74"/>
  <c r="F74" i="5" s="1"/>
  <c r="F74" i="7" s="1"/>
  <c r="G74" i="3"/>
  <c r="G74" i="5" s="1"/>
  <c r="G74" i="7" s="1"/>
  <c r="H74" i="3"/>
  <c r="H74" i="5" s="1"/>
  <c r="H74" i="7" s="1"/>
  <c r="J74" i="3"/>
  <c r="K74"/>
  <c r="K74" i="5" s="1"/>
  <c r="K74" i="7" s="1"/>
  <c r="L74" i="3"/>
  <c r="L74" i="5" s="1"/>
  <c r="L74" i="7" s="1"/>
  <c r="P74" i="3"/>
  <c r="P74" i="5" s="1"/>
  <c r="Q74" i="3"/>
  <c r="Q74" i="5" s="1"/>
  <c r="Q74" i="7" s="1"/>
  <c r="A75" i="3"/>
  <c r="A75" i="5" s="1"/>
  <c r="A75" i="7" s="1"/>
  <c r="B75" i="3"/>
  <c r="B75" i="5" s="1"/>
  <c r="B75" i="7" s="1"/>
  <c r="C75" i="3"/>
  <c r="D75"/>
  <c r="D75" i="5" s="1"/>
  <c r="D75" i="7" s="1"/>
  <c r="E75" i="3"/>
  <c r="F75"/>
  <c r="F75" i="5" s="1"/>
  <c r="F75" i="7" s="1"/>
  <c r="G75" i="3"/>
  <c r="G75" i="5" s="1"/>
  <c r="G75" i="7" s="1"/>
  <c r="H75" i="3"/>
  <c r="H75" i="5" s="1"/>
  <c r="H75" i="7" s="1"/>
  <c r="I75" i="3"/>
  <c r="I75" i="5" s="1"/>
  <c r="I75" i="7" s="1"/>
  <c r="J75" i="3"/>
  <c r="K75"/>
  <c r="K75" i="5" s="1"/>
  <c r="K75" i="7" s="1"/>
  <c r="L75" i="3"/>
  <c r="L75" i="5" s="1"/>
  <c r="L75" i="7" s="1"/>
  <c r="P75" i="3"/>
  <c r="P75" i="5" s="1"/>
  <c r="Q75" i="3"/>
  <c r="Q75" i="5" s="1"/>
  <c r="Q75" i="7" s="1"/>
  <c r="A76" i="3"/>
  <c r="A76" i="5" s="1"/>
  <c r="A76" i="7" s="1"/>
  <c r="B76" i="3"/>
  <c r="B76" i="5" s="1"/>
  <c r="B76" i="7" s="1"/>
  <c r="C76" i="3"/>
  <c r="D76"/>
  <c r="D76" i="5" s="1"/>
  <c r="D76" i="7" s="1"/>
  <c r="E76" i="3"/>
  <c r="F76"/>
  <c r="F76" i="5" s="1"/>
  <c r="F76" i="7" s="1"/>
  <c r="G76" i="3"/>
  <c r="G76" i="5" s="1"/>
  <c r="G76" i="7" s="1"/>
  <c r="H76" i="3"/>
  <c r="H76" i="5" s="1"/>
  <c r="H76" i="7" s="1"/>
  <c r="I76" i="3"/>
  <c r="I76" i="5" s="1"/>
  <c r="I76" i="7" s="1"/>
  <c r="J76" i="3"/>
  <c r="K76"/>
  <c r="K76" i="5" s="1"/>
  <c r="K76" i="7" s="1"/>
  <c r="L76" i="3"/>
  <c r="L76" i="5" s="1"/>
  <c r="L76" i="7" s="1"/>
  <c r="N76" i="3"/>
  <c r="N76" i="5" s="1"/>
  <c r="N76" i="7" s="1"/>
  <c r="O76" i="3"/>
  <c r="O76" i="5" s="1"/>
  <c r="O76" i="7" s="1"/>
  <c r="P76" i="3"/>
  <c r="P76" i="5" s="1"/>
  <c r="Q76" i="3"/>
  <c r="Q76" i="5" s="1"/>
  <c r="Q76" i="7" s="1"/>
  <c r="A77" i="3"/>
  <c r="A77" i="5" s="1"/>
  <c r="A77" i="7" s="1"/>
  <c r="B77" i="3"/>
  <c r="B77" i="5" s="1"/>
  <c r="B77" i="7" s="1"/>
  <c r="C77" i="3"/>
  <c r="D77"/>
  <c r="D77" i="5" s="1"/>
  <c r="D77" i="7" s="1"/>
  <c r="E77" i="3"/>
  <c r="E77" i="5" s="1"/>
  <c r="E77" i="7" s="1"/>
  <c r="F77" i="3"/>
  <c r="F77" i="5" s="1"/>
  <c r="F77" i="7" s="1"/>
  <c r="G77" i="3"/>
  <c r="G77" i="5" s="1"/>
  <c r="G77" i="7" s="1"/>
  <c r="H77" i="3"/>
  <c r="H77" i="5" s="1"/>
  <c r="H77" i="7" s="1"/>
  <c r="I77" i="3"/>
  <c r="I77" i="5" s="1"/>
  <c r="I77" i="7" s="1"/>
  <c r="J77" i="3"/>
  <c r="J77" i="5" s="1"/>
  <c r="J77" i="7" s="1"/>
  <c r="K77" i="3"/>
  <c r="K77" i="5" s="1"/>
  <c r="K77" i="7" s="1"/>
  <c r="L77" i="3"/>
  <c r="L77" i="5" s="1"/>
  <c r="L77" i="7" s="1"/>
  <c r="N77" i="3"/>
  <c r="O77"/>
  <c r="O77" i="5" s="1"/>
  <c r="O77" i="7" s="1"/>
  <c r="P77" i="3"/>
  <c r="P77" i="5" s="1"/>
  <c r="Q77" i="3"/>
  <c r="Q77" i="5" s="1"/>
  <c r="Q77" i="7" s="1"/>
  <c r="A78" i="3"/>
  <c r="A78" i="5" s="1"/>
  <c r="A78" i="7" s="1"/>
  <c r="B78" i="3"/>
  <c r="B78" i="5" s="1"/>
  <c r="B78" i="7" s="1"/>
  <c r="C78" i="3"/>
  <c r="D78"/>
  <c r="D78" i="5" s="1"/>
  <c r="D78" i="7" s="1"/>
  <c r="E78" i="3"/>
  <c r="E78" i="5" s="1"/>
  <c r="E78" i="7" s="1"/>
  <c r="F78" i="3"/>
  <c r="F78" i="5" s="1"/>
  <c r="F78" i="7" s="1"/>
  <c r="G78" i="3"/>
  <c r="G78" i="5" s="1"/>
  <c r="G78" i="7" s="1"/>
  <c r="H78" i="3"/>
  <c r="H78" i="5" s="1"/>
  <c r="H78" i="7" s="1"/>
  <c r="I78" i="3"/>
  <c r="I78" i="5" s="1"/>
  <c r="I78" i="7" s="1"/>
  <c r="J78" i="3"/>
  <c r="K78"/>
  <c r="K78" i="5" s="1"/>
  <c r="K78" i="7" s="1"/>
  <c r="L78" i="3"/>
  <c r="L78" i="5" s="1"/>
  <c r="L78" i="7" s="1"/>
  <c r="N78" i="3"/>
  <c r="N78" i="5" s="1"/>
  <c r="N78" i="7" s="1"/>
  <c r="O78" i="3"/>
  <c r="O78" i="5" s="1"/>
  <c r="O78" i="7" s="1"/>
  <c r="P78" i="3"/>
  <c r="P78" i="5" s="1"/>
  <c r="Q78" i="3"/>
  <c r="Q78" i="5" s="1"/>
  <c r="Q78" i="7" s="1"/>
  <c r="A79" i="3"/>
  <c r="A79" i="5" s="1"/>
  <c r="A79" i="7" s="1"/>
  <c r="B79" i="3"/>
  <c r="B79" i="5" s="1"/>
  <c r="B79" i="7" s="1"/>
  <c r="C79" i="3"/>
  <c r="D79"/>
  <c r="D79" i="5" s="1"/>
  <c r="D79" i="7" s="1"/>
  <c r="E79" i="3"/>
  <c r="E79" i="5" s="1"/>
  <c r="E79" i="7" s="1"/>
  <c r="F79" i="3"/>
  <c r="F79" i="5" s="1"/>
  <c r="F79" i="7" s="1"/>
  <c r="G79" i="3"/>
  <c r="G79" i="5" s="1"/>
  <c r="G79" i="7" s="1"/>
  <c r="H79" i="3"/>
  <c r="H79" i="5" s="1"/>
  <c r="H79" i="7" s="1"/>
  <c r="I79" i="3"/>
  <c r="I79" i="5" s="1"/>
  <c r="I79" i="7" s="1"/>
  <c r="J79" i="3"/>
  <c r="K79"/>
  <c r="K79" i="5" s="1"/>
  <c r="K79" i="7" s="1"/>
  <c r="L79" i="3"/>
  <c r="L79" i="5" s="1"/>
  <c r="L79" i="7" s="1"/>
  <c r="N79" i="3"/>
  <c r="N79" i="5" s="1"/>
  <c r="N79" i="7" s="1"/>
  <c r="O79" i="3"/>
  <c r="O79" i="5" s="1"/>
  <c r="O79" i="7" s="1"/>
  <c r="P79" i="3"/>
  <c r="P79" i="5" s="1"/>
  <c r="Q79" i="3"/>
  <c r="Q79" i="5" s="1"/>
  <c r="Q79" i="7" s="1"/>
  <c r="A80" i="3"/>
  <c r="A80" i="5" s="1"/>
  <c r="A80" i="7" s="1"/>
  <c r="B80" i="3"/>
  <c r="B80" i="5" s="1"/>
  <c r="B80" i="7" s="1"/>
  <c r="C80" i="3"/>
  <c r="D80"/>
  <c r="D80" i="5" s="1"/>
  <c r="D80" i="7" s="1"/>
  <c r="E80" i="3"/>
  <c r="F80"/>
  <c r="F80" i="5" s="1"/>
  <c r="F80" i="7" s="1"/>
  <c r="G80" i="3"/>
  <c r="G80" i="5" s="1"/>
  <c r="G80" i="7" s="1"/>
  <c r="H80" i="3"/>
  <c r="H80" i="5" s="1"/>
  <c r="H80" i="7" s="1"/>
  <c r="I80" i="3"/>
  <c r="I80" i="5" s="1"/>
  <c r="I80" i="7" s="1"/>
  <c r="J80" i="3"/>
  <c r="J80" i="5" s="1"/>
  <c r="J80" i="7" s="1"/>
  <c r="K80" i="3"/>
  <c r="L80"/>
  <c r="L80" i="5" s="1"/>
  <c r="L80" i="7" s="1"/>
  <c r="P80" i="3"/>
  <c r="P80" i="5" s="1"/>
  <c r="Q80" i="3"/>
  <c r="Q80" i="5" s="1"/>
  <c r="Q80" i="7" s="1"/>
  <c r="A81" i="3"/>
  <c r="A81" i="5" s="1"/>
  <c r="A81" i="7" s="1"/>
  <c r="B81" i="3"/>
  <c r="B81" i="5" s="1"/>
  <c r="B81" i="7" s="1"/>
  <c r="C81" i="3"/>
  <c r="D81"/>
  <c r="D81" i="5" s="1"/>
  <c r="D81" i="7" s="1"/>
  <c r="E81" i="3"/>
  <c r="F81"/>
  <c r="F81" i="5" s="1"/>
  <c r="F81" i="7" s="1"/>
  <c r="G81" i="3"/>
  <c r="G81" i="5" s="1"/>
  <c r="G81" i="7" s="1"/>
  <c r="H81" i="3"/>
  <c r="H81" i="5" s="1"/>
  <c r="H81" i="7" s="1"/>
  <c r="I81" i="3"/>
  <c r="I81" i="5" s="1"/>
  <c r="I81" i="7" s="1"/>
  <c r="J81" i="3"/>
  <c r="K81"/>
  <c r="K81" i="5" s="1"/>
  <c r="K81" i="7" s="1"/>
  <c r="L81" i="3"/>
  <c r="L81" i="5" s="1"/>
  <c r="L81" i="7" s="1"/>
  <c r="P81" i="3"/>
  <c r="P81" i="5" s="1"/>
  <c r="Q81" i="3"/>
  <c r="Q81" i="5" s="1"/>
  <c r="Q81" i="7" s="1"/>
  <c r="A82" i="3"/>
  <c r="A82" i="5" s="1"/>
  <c r="A82" i="7" s="1"/>
  <c r="B82" i="3"/>
  <c r="B82" i="5" s="1"/>
  <c r="B82" i="7" s="1"/>
  <c r="C82" i="3"/>
  <c r="D82"/>
  <c r="D82" i="5" s="1"/>
  <c r="D82" i="7" s="1"/>
  <c r="E82" i="3"/>
  <c r="E82" i="5" s="1"/>
  <c r="E82" i="7" s="1"/>
  <c r="F82" i="3"/>
  <c r="F82" i="5" s="1"/>
  <c r="F82" i="7" s="1"/>
  <c r="G82" i="3"/>
  <c r="G82" i="5" s="1"/>
  <c r="G82" i="7" s="1"/>
  <c r="H82" i="3"/>
  <c r="H82" i="5" s="1"/>
  <c r="H82" i="7" s="1"/>
  <c r="I82" i="3"/>
  <c r="I82" i="5" s="1"/>
  <c r="I82" i="7" s="1"/>
  <c r="J82" i="3"/>
  <c r="K82"/>
  <c r="K82" i="5" s="1"/>
  <c r="K82" i="7" s="1"/>
  <c r="L82" i="3"/>
  <c r="L82" i="5" s="1"/>
  <c r="L82" i="7" s="1"/>
  <c r="N82" i="3"/>
  <c r="N82" i="5" s="1"/>
  <c r="N82" i="7" s="1"/>
  <c r="O82" i="3"/>
  <c r="O82" i="5" s="1"/>
  <c r="O82" i="7" s="1"/>
  <c r="P82" i="3"/>
  <c r="P82" i="5" s="1"/>
  <c r="Q82" i="3"/>
  <c r="Q82" i="5" s="1"/>
  <c r="Q82" i="7" s="1"/>
  <c r="A83" i="3"/>
  <c r="A83" i="5" s="1"/>
  <c r="A83" i="7" s="1"/>
  <c r="B83" i="3"/>
  <c r="B83" i="5" s="1"/>
  <c r="B83" i="7" s="1"/>
  <c r="C83" i="3"/>
  <c r="D83"/>
  <c r="D83" i="5" s="1"/>
  <c r="D83" i="7" s="1"/>
  <c r="E83" i="3"/>
  <c r="E83" i="5" s="1"/>
  <c r="E83" i="7" s="1"/>
  <c r="F83" i="3"/>
  <c r="F83" i="5" s="1"/>
  <c r="F83" i="7" s="1"/>
  <c r="G83" i="3"/>
  <c r="G83" i="5" s="1"/>
  <c r="G83" i="7" s="1"/>
  <c r="H83" i="3"/>
  <c r="H83" i="5" s="1"/>
  <c r="H83" i="7" s="1"/>
  <c r="I83" i="3"/>
  <c r="I83" i="5" s="1"/>
  <c r="I83" i="7" s="1"/>
  <c r="J83" i="3"/>
  <c r="K83"/>
  <c r="K83" i="5" s="1"/>
  <c r="K83" i="7" s="1"/>
  <c r="L83" i="3"/>
  <c r="L83" i="5" s="1"/>
  <c r="L83" i="7" s="1"/>
  <c r="N83" i="3"/>
  <c r="N83" i="5" s="1"/>
  <c r="N83" i="7" s="1"/>
  <c r="O83" i="3"/>
  <c r="O83" i="5" s="1"/>
  <c r="O83" i="7" s="1"/>
  <c r="P83" i="3"/>
  <c r="P83" i="5" s="1"/>
  <c r="Q83" i="3"/>
  <c r="Q83" i="5" s="1"/>
  <c r="Q83" i="7" s="1"/>
  <c r="A84" i="3"/>
  <c r="A84" i="5" s="1"/>
  <c r="A84" i="7" s="1"/>
  <c r="B84" i="3"/>
  <c r="B84" i="5" s="1"/>
  <c r="B84" i="7" s="1"/>
  <c r="C84" i="3"/>
  <c r="D84"/>
  <c r="D84" i="5" s="1"/>
  <c r="D84" i="7" s="1"/>
  <c r="E84" i="3"/>
  <c r="E84" i="5" s="1"/>
  <c r="E84" i="7" s="1"/>
  <c r="F84" i="3"/>
  <c r="F84" i="5" s="1"/>
  <c r="F84" i="7" s="1"/>
  <c r="G84" i="3"/>
  <c r="G84" i="5" s="1"/>
  <c r="G84" i="7" s="1"/>
  <c r="H84" i="3"/>
  <c r="H84" i="5" s="1"/>
  <c r="H84" i="7" s="1"/>
  <c r="I84" i="3"/>
  <c r="I84" i="5" s="1"/>
  <c r="I84" i="7" s="1"/>
  <c r="J84" i="3"/>
  <c r="K84"/>
  <c r="K84" i="5" s="1"/>
  <c r="K84" i="7" s="1"/>
  <c r="L84" i="3"/>
  <c r="L84" i="5" s="1"/>
  <c r="L84" i="7" s="1"/>
  <c r="N84" i="3"/>
  <c r="N84" i="5" s="1"/>
  <c r="N84" i="7" s="1"/>
  <c r="O84" i="3"/>
  <c r="O84" i="5" s="1"/>
  <c r="O84" i="7" s="1"/>
  <c r="P84" i="3"/>
  <c r="P84" i="5" s="1"/>
  <c r="Q84" i="3"/>
  <c r="Q84" i="5" s="1"/>
  <c r="Q84" i="7" s="1"/>
  <c r="A85" i="3"/>
  <c r="A85" i="5" s="1"/>
  <c r="A85" i="7" s="1"/>
  <c r="B85" i="3"/>
  <c r="B85" i="5" s="1"/>
  <c r="B85" i="7" s="1"/>
  <c r="C85" i="3"/>
  <c r="D85"/>
  <c r="D85" i="5" s="1"/>
  <c r="D85" i="7" s="1"/>
  <c r="E85" i="3"/>
  <c r="E85" i="5" s="1"/>
  <c r="E85" i="7" s="1"/>
  <c r="F85" i="3"/>
  <c r="F85" i="5" s="1"/>
  <c r="F85" i="7" s="1"/>
  <c r="G85" i="3"/>
  <c r="G85" i="5" s="1"/>
  <c r="G85" i="7" s="1"/>
  <c r="H85" i="3"/>
  <c r="H85" i="5" s="1"/>
  <c r="H85" i="7" s="1"/>
  <c r="I85" i="3"/>
  <c r="I85" i="5" s="1"/>
  <c r="I85" i="7" s="1"/>
  <c r="J85" i="3"/>
  <c r="J85" i="5" s="1"/>
  <c r="J85" i="7" s="1"/>
  <c r="K85" i="3"/>
  <c r="K85" i="5" s="1"/>
  <c r="K85" i="7" s="1"/>
  <c r="L85" i="3"/>
  <c r="L85" i="5" s="1"/>
  <c r="L85" i="7" s="1"/>
  <c r="N85" i="3"/>
  <c r="O85"/>
  <c r="O85" i="5" s="1"/>
  <c r="O85" i="7" s="1"/>
  <c r="P85" i="3"/>
  <c r="P85" i="5" s="1"/>
  <c r="Q85" i="3"/>
  <c r="Q85" i="5" s="1"/>
  <c r="Q85" i="7" s="1"/>
  <c r="A86" i="3"/>
  <c r="A86" i="5" s="1"/>
  <c r="A86" i="7" s="1"/>
  <c r="B86" i="3"/>
  <c r="B86" i="5" s="1"/>
  <c r="B86" i="7" s="1"/>
  <c r="C86" i="3"/>
  <c r="D86"/>
  <c r="D86" i="5" s="1"/>
  <c r="D86" i="7" s="1"/>
  <c r="E86" i="3"/>
  <c r="E86" i="5" s="1"/>
  <c r="E86" i="7" s="1"/>
  <c r="F86" i="3"/>
  <c r="F86" i="5" s="1"/>
  <c r="F86" i="7" s="1"/>
  <c r="G86" i="3"/>
  <c r="G86" i="5" s="1"/>
  <c r="G86" i="7" s="1"/>
  <c r="H86" i="3"/>
  <c r="H86" i="5" s="1"/>
  <c r="H86" i="7" s="1"/>
  <c r="I86" i="3"/>
  <c r="I86" i="5" s="1"/>
  <c r="I86" i="7" s="1"/>
  <c r="J86" i="3"/>
  <c r="K86"/>
  <c r="K86" i="5" s="1"/>
  <c r="K86" i="7" s="1"/>
  <c r="L86" i="3"/>
  <c r="L86" i="5" s="1"/>
  <c r="L86" i="7" s="1"/>
  <c r="N86" i="3"/>
  <c r="N86" i="5" s="1"/>
  <c r="N86" i="7" s="1"/>
  <c r="O86" i="3"/>
  <c r="O86" i="5" s="1"/>
  <c r="O86" i="7" s="1"/>
  <c r="P86" i="3"/>
  <c r="P86" i="5" s="1"/>
  <c r="Q86" i="3"/>
  <c r="Q86" i="5" s="1"/>
  <c r="Q86" i="7" s="1"/>
  <c r="A87" i="3"/>
  <c r="A87" i="5" s="1"/>
  <c r="A87" i="7" s="1"/>
  <c r="B87" i="3"/>
  <c r="B87" i="5" s="1"/>
  <c r="B87" i="7" s="1"/>
  <c r="C87" i="3"/>
  <c r="D87"/>
  <c r="D87" i="5" s="1"/>
  <c r="D87" i="7" s="1"/>
  <c r="E87" i="3"/>
  <c r="E87" i="5" s="1"/>
  <c r="E87" i="7" s="1"/>
  <c r="F87" i="3"/>
  <c r="F87" i="5" s="1"/>
  <c r="F87" i="7" s="1"/>
  <c r="G87" i="3"/>
  <c r="G87" i="5" s="1"/>
  <c r="G87" i="7" s="1"/>
  <c r="H87" i="3"/>
  <c r="H87" i="5" s="1"/>
  <c r="H87" i="7" s="1"/>
  <c r="I87" i="3"/>
  <c r="I87" i="5" s="1"/>
  <c r="I87" i="7" s="1"/>
  <c r="J87" i="3"/>
  <c r="K87"/>
  <c r="K87" i="5" s="1"/>
  <c r="K87" i="7" s="1"/>
  <c r="L87" i="3"/>
  <c r="L87" i="5" s="1"/>
  <c r="L87" i="7" s="1"/>
  <c r="N87" i="3"/>
  <c r="N87" i="5" s="1"/>
  <c r="N87" i="7" s="1"/>
  <c r="O87" i="3"/>
  <c r="O87" i="5" s="1"/>
  <c r="O87" i="7" s="1"/>
  <c r="P87" i="3"/>
  <c r="P87" i="5" s="1"/>
  <c r="Q87" i="3"/>
  <c r="Q87" i="5" s="1"/>
  <c r="Q87" i="7" s="1"/>
  <c r="B8" i="3"/>
  <c r="B8" i="5" s="1"/>
  <c r="B8" i="7" s="1"/>
  <c r="C8" i="3"/>
  <c r="D8"/>
  <c r="D8" i="5" s="1"/>
  <c r="D8" i="7" s="1"/>
  <c r="E8" i="3"/>
  <c r="E8" i="5" s="1"/>
  <c r="E8" i="7" s="1"/>
  <c r="F8" i="3"/>
  <c r="F8" i="5" s="1"/>
  <c r="F8" i="7" s="1"/>
  <c r="G8" i="3"/>
  <c r="G8" i="5" s="1"/>
  <c r="G8" i="7" s="1"/>
  <c r="H8" i="3"/>
  <c r="H8" i="5" s="1"/>
  <c r="H8" i="7" s="1"/>
  <c r="J8" i="3"/>
  <c r="J8" i="5" s="1"/>
  <c r="J8" i="7" s="1"/>
  <c r="A8" i="2"/>
  <c r="T10" i="3"/>
  <c r="T10" i="5" s="1"/>
  <c r="T12" i="3"/>
  <c r="T12" i="5" s="1"/>
  <c r="T13" i="3"/>
  <c r="T13" i="5" s="1"/>
  <c r="T14" i="3"/>
  <c r="T14" i="5" s="1"/>
  <c r="T16" i="3"/>
  <c r="T16" i="5" s="1"/>
  <c r="T18" i="3"/>
  <c r="T18" i="5" s="1"/>
  <c r="T20" i="3"/>
  <c r="T20" i="5" s="1"/>
  <c r="T21" i="3"/>
  <c r="T21" i="5" s="1"/>
  <c r="T22" i="3"/>
  <c r="T22" i="5" s="1"/>
  <c r="T26" i="3"/>
  <c r="T26" i="5" s="1"/>
  <c r="T28" i="3"/>
  <c r="T28" i="5" s="1"/>
  <c r="T29" i="3"/>
  <c r="T29" i="5" s="1"/>
  <c r="T30" i="3"/>
  <c r="T30" i="5" s="1"/>
  <c r="T33" i="3"/>
  <c r="T33" i="5" s="1"/>
  <c r="T35" i="3"/>
  <c r="T35" i="5" s="1"/>
  <c r="T37" i="3"/>
  <c r="T37" i="5" s="1"/>
  <c r="T38" i="3"/>
  <c r="T38" i="5" s="1"/>
  <c r="T39" i="3"/>
  <c r="T39" i="5" s="1"/>
  <c r="T41" i="3"/>
  <c r="T41" i="5" s="1"/>
  <c r="T43" i="3"/>
  <c r="T43" i="5" s="1"/>
  <c r="T45" i="3"/>
  <c r="T45" i="5" s="1"/>
  <c r="T47" i="3"/>
  <c r="T47" i="5" s="1"/>
  <c r="T53" i="3"/>
  <c r="T53" i="5" s="1"/>
  <c r="T54" i="3"/>
  <c r="T54" i="5" s="1"/>
  <c r="T56" i="3"/>
  <c r="T56" i="5" s="1"/>
  <c r="T58" i="3"/>
  <c r="T58" i="5" s="1"/>
  <c r="T60" i="3"/>
  <c r="T60" i="5" s="1"/>
  <c r="T62" i="3"/>
  <c r="T62" i="5" s="1"/>
  <c r="T64" i="3"/>
  <c r="T64" i="5" s="1"/>
  <c r="T66" i="3"/>
  <c r="T66" i="5" s="1"/>
  <c r="T68" i="3"/>
  <c r="T68" i="5" s="1"/>
  <c r="T69" i="3"/>
  <c r="T69" i="5" s="1"/>
  <c r="T69" i="7" s="1"/>
  <c r="T70" i="3"/>
  <c r="T70" i="5" s="1"/>
  <c r="T70" i="7" s="1"/>
  <c r="T72" i="3"/>
  <c r="T72" i="5" s="1"/>
  <c r="T72" i="7" s="1"/>
  <c r="T74" i="3"/>
  <c r="T74" i="5" s="1"/>
  <c r="T74" i="7" s="1"/>
  <c r="T76" i="3"/>
  <c r="T76" i="5" s="1"/>
  <c r="T76" i="7" s="1"/>
  <c r="T77" i="3"/>
  <c r="T77" i="5" s="1"/>
  <c r="T77" i="7" s="1"/>
  <c r="T78" i="3"/>
  <c r="T78" i="5" s="1"/>
  <c r="T78" i="7" s="1"/>
  <c r="T80" i="3"/>
  <c r="T80" i="5" s="1"/>
  <c r="T80" i="7" s="1"/>
  <c r="T82" i="3"/>
  <c r="T82" i="5" s="1"/>
  <c r="T82" i="7" s="1"/>
  <c r="T84" i="3"/>
  <c r="T84" i="5" s="1"/>
  <c r="T84" i="7" s="1"/>
  <c r="T85" i="3"/>
  <c r="T85" i="5" s="1"/>
  <c r="T85" i="7" s="1"/>
  <c r="T86" i="3"/>
  <c r="T86" i="5" s="1"/>
  <c r="T86" i="7" s="1"/>
  <c r="E75" i="5" l="1"/>
  <c r="E75" i="7" s="1"/>
  <c r="E74" i="5"/>
  <c r="E74" i="7" s="1"/>
  <c r="E73" i="5"/>
  <c r="E73" i="7" s="1"/>
  <c r="E72" i="5"/>
  <c r="E72" i="7" s="1"/>
  <c r="E70" i="5"/>
  <c r="E70" i="7" s="1"/>
  <c r="E81" i="5"/>
  <c r="E81" i="7" s="1"/>
  <c r="E76" i="5"/>
  <c r="E76" i="7" s="1"/>
  <c r="E71" i="5"/>
  <c r="E71" i="7" s="1"/>
  <c r="E80" i="5"/>
  <c r="E80" i="7" s="1"/>
  <c r="E69" i="5"/>
  <c r="E69" i="7" s="1"/>
  <c r="E44"/>
  <c r="E39"/>
  <c r="E58"/>
  <c r="T62"/>
  <c r="T38"/>
  <c r="T47"/>
  <c r="T39"/>
  <c r="T30"/>
  <c r="T22"/>
  <c r="T14"/>
  <c r="W32" i="5"/>
  <c r="U32" i="7"/>
  <c r="W32" s="1"/>
  <c r="T29"/>
  <c r="T64"/>
  <c r="T41"/>
  <c r="T33"/>
  <c r="T16"/>
  <c r="T21"/>
  <c r="T56"/>
  <c r="T66"/>
  <c r="T58"/>
  <c r="T54"/>
  <c r="T13"/>
  <c r="T43"/>
  <c r="T35"/>
  <c r="T26"/>
  <c r="T18"/>
  <c r="T10"/>
  <c r="T68"/>
  <c r="T60"/>
  <c r="T53"/>
  <c r="T45"/>
  <c r="T37"/>
  <c r="T28"/>
  <c r="T20"/>
  <c r="T12"/>
  <c r="E68"/>
  <c r="E66"/>
  <c r="E67"/>
  <c r="E63"/>
  <c r="E61"/>
  <c r="E56"/>
  <c r="E55"/>
  <c r="E53"/>
  <c r="E45"/>
  <c r="E40"/>
  <c r="E38"/>
  <c r="E36"/>
  <c r="E33"/>
  <c r="E29"/>
  <c r="E31"/>
  <c r="E26"/>
  <c r="E24"/>
  <c r="E22"/>
  <c r="E20"/>
  <c r="E18"/>
  <c r="T49" i="3"/>
  <c r="T49" i="5" s="1"/>
  <c r="T51" i="3"/>
  <c r="T51" i="5" s="1"/>
  <c r="O64" i="3"/>
  <c r="O64" i="5" s="1"/>
  <c r="O64" i="7" s="1"/>
  <c r="O31" i="3"/>
  <c r="O31" i="5" s="1"/>
  <c r="O31" i="7" s="1"/>
  <c r="T24" i="3"/>
  <c r="T24" i="5" s="1"/>
  <c r="N49" i="3"/>
  <c r="N49" i="5" s="1"/>
  <c r="N49" i="7" s="1"/>
  <c r="O17" i="3"/>
  <c r="O17" i="5" s="1"/>
  <c r="O17" i="7" s="1"/>
  <c r="O49" i="3"/>
  <c r="O49" i="5" s="1"/>
  <c r="O49" i="7" s="1"/>
  <c r="O45" i="3"/>
  <c r="O45" i="5" s="1"/>
  <c r="O45" i="7" s="1"/>
  <c r="G38" i="3"/>
  <c r="G38" i="5" s="1"/>
  <c r="G38" i="7" s="1"/>
  <c r="O42" i="3"/>
  <c r="O42" i="5" s="1"/>
  <c r="O42" i="7" s="1"/>
  <c r="H38" i="3"/>
  <c r="H38" i="5" s="1"/>
  <c r="H38" i="7" s="1"/>
  <c r="N17" i="3"/>
  <c r="N17" i="5" s="1"/>
  <c r="N17" i="7" s="1"/>
  <c r="O71" i="3"/>
  <c r="O71" i="5" s="1"/>
  <c r="O71" i="7" s="1"/>
  <c r="O23" i="3"/>
  <c r="O23" i="5" s="1"/>
  <c r="O23" i="7" s="1"/>
  <c r="I63" i="3"/>
  <c r="I63" i="5" s="1"/>
  <c r="I63" i="7" s="1"/>
  <c r="T61" i="3"/>
  <c r="T61" i="5" s="1"/>
  <c r="T46" i="3"/>
  <c r="T46" i="5" s="1"/>
  <c r="U87" i="3"/>
  <c r="T87"/>
  <c r="T87" i="5" s="1"/>
  <c r="T87" i="7" s="1"/>
  <c r="U79" i="3"/>
  <c r="T79"/>
  <c r="T79" i="5" s="1"/>
  <c r="T79" i="7" s="1"/>
  <c r="U71" i="3"/>
  <c r="T71"/>
  <c r="T71" i="5" s="1"/>
  <c r="T71" i="7" s="1"/>
  <c r="U63" i="3"/>
  <c r="T63"/>
  <c r="T63" i="5" s="1"/>
  <c r="U59" i="3"/>
  <c r="T59"/>
  <c r="T59" i="5" s="1"/>
  <c r="U55" i="3"/>
  <c r="T55"/>
  <c r="T55" i="5" s="1"/>
  <c r="U50" i="3"/>
  <c r="U42"/>
  <c r="T42"/>
  <c r="T42" i="5" s="1"/>
  <c r="U34" i="3"/>
  <c r="T34"/>
  <c r="T34" i="5" s="1"/>
  <c r="U17" i="3"/>
  <c r="T17"/>
  <c r="T17" i="5" s="1"/>
  <c r="U9" i="3"/>
  <c r="T9"/>
  <c r="T9" i="5" s="1"/>
  <c r="U83" i="3"/>
  <c r="T83"/>
  <c r="T83" i="5" s="1"/>
  <c r="T83" i="7" s="1"/>
  <c r="U75" i="3"/>
  <c r="T75"/>
  <c r="T75" i="5" s="1"/>
  <c r="T75" i="7" s="1"/>
  <c r="U67" i="3"/>
  <c r="T67"/>
  <c r="T67" i="5" s="1"/>
  <c r="U81" i="3"/>
  <c r="T81"/>
  <c r="T81" i="5" s="1"/>
  <c r="T81" i="7" s="1"/>
  <c r="U73" i="3"/>
  <c r="T73"/>
  <c r="T73" i="5" s="1"/>
  <c r="T73" i="7" s="1"/>
  <c r="U65" i="3"/>
  <c r="T65"/>
  <c r="T65" i="5" s="1"/>
  <c r="U57" i="3"/>
  <c r="T57"/>
  <c r="T57" i="5" s="1"/>
  <c r="U52" i="3"/>
  <c r="T52"/>
  <c r="T52" i="5" s="1"/>
  <c r="U48" i="3"/>
  <c r="T48"/>
  <c r="T48" i="5" s="1"/>
  <c r="U44" i="3"/>
  <c r="T44"/>
  <c r="T44" i="5" s="1"/>
  <c r="U40" i="3"/>
  <c r="T40"/>
  <c r="T40" i="5" s="1"/>
  <c r="U36" i="3"/>
  <c r="T36"/>
  <c r="T36" i="5" s="1"/>
  <c r="U31" i="3"/>
  <c r="T31"/>
  <c r="T31" i="5" s="1"/>
  <c r="U27" i="3"/>
  <c r="T27"/>
  <c r="T27" i="5" s="1"/>
  <c r="U23" i="3"/>
  <c r="T23"/>
  <c r="T23" i="5" s="1"/>
  <c r="U19" i="3"/>
  <c r="T19"/>
  <c r="T19" i="5" s="1"/>
  <c r="U15" i="3"/>
  <c r="T15"/>
  <c r="T15" i="5" s="1"/>
  <c r="U11" i="3"/>
  <c r="T11"/>
  <c r="T11" i="5" s="1"/>
  <c r="L8" i="3"/>
  <c r="L8" i="5" s="1"/>
  <c r="L8" i="7" s="1"/>
  <c r="M68" i="3"/>
  <c r="J68" i="5"/>
  <c r="M53" i="3"/>
  <c r="J53" i="5"/>
  <c r="M50" i="3"/>
  <c r="J50" i="5"/>
  <c r="M26" i="3"/>
  <c r="J26" i="5"/>
  <c r="J22"/>
  <c r="M22" i="3"/>
  <c r="M15"/>
  <c r="J15" i="5"/>
  <c r="M12" i="3"/>
  <c r="J12" i="5"/>
  <c r="M11" i="3"/>
  <c r="J11" i="5"/>
  <c r="M10" i="3"/>
  <c r="J10" i="5"/>
  <c r="N8" i="3"/>
  <c r="N8" i="5" s="1"/>
  <c r="N8" i="7" s="1"/>
  <c r="I8" i="3"/>
  <c r="I8" i="5" s="1"/>
  <c r="I8" i="7" s="1"/>
  <c r="M87" i="3"/>
  <c r="J87" i="5"/>
  <c r="J86"/>
  <c r="M86" i="3"/>
  <c r="M84"/>
  <c r="J84" i="5"/>
  <c r="M80" i="3"/>
  <c r="K80" i="5"/>
  <c r="M75" i="3"/>
  <c r="J75" i="5"/>
  <c r="R70" i="3"/>
  <c r="R70" i="5" s="1"/>
  <c r="R70" i="7" s="1"/>
  <c r="M64" i="3"/>
  <c r="K64" i="5"/>
  <c r="R61" i="3"/>
  <c r="R61" i="5" s="1"/>
  <c r="R61" i="7" s="1"/>
  <c r="M59" i="3"/>
  <c r="J59" i="5"/>
  <c r="M48" i="3"/>
  <c r="K48" i="5"/>
  <c r="M44" i="3"/>
  <c r="J44" i="5"/>
  <c r="M43" i="3"/>
  <c r="J43" i="5"/>
  <c r="M42" i="3"/>
  <c r="J42" i="5"/>
  <c r="J41"/>
  <c r="M41" i="3"/>
  <c r="M40"/>
  <c r="K40" i="5"/>
  <c r="R38" i="3"/>
  <c r="R38" i="5" s="1"/>
  <c r="R38" i="7" s="1"/>
  <c r="M36" i="3"/>
  <c r="J36" i="5"/>
  <c r="M34" i="3"/>
  <c r="J34" i="5"/>
  <c r="J33"/>
  <c r="M33" i="3"/>
  <c r="M28"/>
  <c r="J28" i="5"/>
  <c r="M27" i="3"/>
  <c r="J27" i="5"/>
  <c r="R21" i="3"/>
  <c r="R21" i="5" s="1"/>
  <c r="R21" i="7" s="1"/>
  <c r="M19" i="3"/>
  <c r="J19" i="5"/>
  <c r="J14"/>
  <c r="M14" i="3"/>
  <c r="R9"/>
  <c r="R9" i="5" s="1"/>
  <c r="R9" i="7" s="1"/>
  <c r="M82" i="3"/>
  <c r="J82" i="5"/>
  <c r="M66" i="3"/>
  <c r="J66" i="5"/>
  <c r="R59" i="3"/>
  <c r="R59" i="5" s="1"/>
  <c r="R59" i="7" s="1"/>
  <c r="M58" i="3"/>
  <c r="J58" i="5"/>
  <c r="M51" i="3"/>
  <c r="J51" i="5"/>
  <c r="J49"/>
  <c r="J49" i="7" s="1"/>
  <c r="M47" i="3"/>
  <c r="J47" i="5"/>
  <c r="J46"/>
  <c r="M46" i="3"/>
  <c r="M39"/>
  <c r="J39" i="5"/>
  <c r="R36" i="3"/>
  <c r="R36" i="5" s="1"/>
  <c r="R36" i="7" s="1"/>
  <c r="M31" i="3"/>
  <c r="J31" i="5"/>
  <c r="R24" i="3"/>
  <c r="O8"/>
  <c r="O8" i="5" s="1"/>
  <c r="O8" i="7" s="1"/>
  <c r="J81" i="5"/>
  <c r="M81" i="3"/>
  <c r="R79"/>
  <c r="R79" i="5" s="1"/>
  <c r="R79" i="7" s="1"/>
  <c r="M77" i="3"/>
  <c r="N77" i="5"/>
  <c r="J73"/>
  <c r="M73" i="3"/>
  <c r="J70" i="5"/>
  <c r="M70" i="3"/>
  <c r="R63"/>
  <c r="R63" i="5" s="1"/>
  <c r="R63" i="7" s="1"/>
  <c r="M61" i="3"/>
  <c r="J61" i="5"/>
  <c r="M60" i="3"/>
  <c r="J60" i="5"/>
  <c r="R57" i="3"/>
  <c r="R57" i="5" s="1"/>
  <c r="R57" i="7" s="1"/>
  <c r="M56" i="3"/>
  <c r="K56" i="5"/>
  <c r="J38"/>
  <c r="M38" i="3"/>
  <c r="M37"/>
  <c r="J37" i="5"/>
  <c r="M35" i="3"/>
  <c r="J35" i="5"/>
  <c r="M29" i="3"/>
  <c r="J29" i="5"/>
  <c r="M24" i="3"/>
  <c r="K24" i="5"/>
  <c r="M21" i="3"/>
  <c r="J21" i="5"/>
  <c r="M20" i="3"/>
  <c r="J20" i="5"/>
  <c r="R18" i="3"/>
  <c r="R18" i="5" s="1"/>
  <c r="R18" i="7" s="1"/>
  <c r="R13" i="3"/>
  <c r="R13" i="5" s="1"/>
  <c r="R13" i="7" s="1"/>
  <c r="J9" i="5"/>
  <c r="M9" i="3"/>
  <c r="Q8"/>
  <c r="Q8" i="5" s="1"/>
  <c r="Q8" i="7" s="1"/>
  <c r="M85" i="3"/>
  <c r="N85" i="5"/>
  <c r="M83" i="3"/>
  <c r="J83" i="5"/>
  <c r="J69"/>
  <c r="M69" i="3"/>
  <c r="M67"/>
  <c r="J67" i="5"/>
  <c r="J65"/>
  <c r="M65" i="3"/>
  <c r="M55"/>
  <c r="J55" i="5"/>
  <c r="M52" i="3"/>
  <c r="J52" i="5"/>
  <c r="M45" i="3"/>
  <c r="J45" i="5"/>
  <c r="M23" i="3"/>
  <c r="J23" i="5"/>
  <c r="V8" i="3"/>
  <c r="V8" i="5" s="1"/>
  <c r="V8" i="7" s="1"/>
  <c r="P8" i="3"/>
  <c r="P8" i="5" s="1"/>
  <c r="K8" i="3"/>
  <c r="K8" i="5" s="1"/>
  <c r="R83" i="3"/>
  <c r="R83" i="5" s="1"/>
  <c r="R83" i="7" s="1"/>
  <c r="M79" i="3"/>
  <c r="J79" i="5"/>
  <c r="J78"/>
  <c r="M78" i="3"/>
  <c r="M76"/>
  <c r="J76" i="5"/>
  <c r="M74" i="3"/>
  <c r="J74" i="5"/>
  <c r="M72" i="3"/>
  <c r="K72" i="5"/>
  <c r="M71" i="3"/>
  <c r="J71" i="5"/>
  <c r="M63" i="3"/>
  <c r="J63" i="5"/>
  <c r="J62"/>
  <c r="M62" i="3"/>
  <c r="R58"/>
  <c r="R58" i="5" s="1"/>
  <c r="R58" i="7" s="1"/>
  <c r="J57" i="5"/>
  <c r="M57" i="3"/>
  <c r="R55"/>
  <c r="R55" i="5" s="1"/>
  <c r="R55" i="7" s="1"/>
  <c r="R53" i="3"/>
  <c r="R53" i="5" s="1"/>
  <c r="R53" i="7" s="1"/>
  <c r="R40" i="3"/>
  <c r="R40" i="5" s="1"/>
  <c r="R40" i="7" s="1"/>
  <c r="J30" i="5"/>
  <c r="M30" i="3"/>
  <c r="J25" i="5"/>
  <c r="M25" i="3"/>
  <c r="M18"/>
  <c r="J18" i="5"/>
  <c r="K17"/>
  <c r="K17" i="7" s="1"/>
  <c r="M16" i="3"/>
  <c r="K16" i="5"/>
  <c r="R15" i="3"/>
  <c r="R15" i="5" s="1"/>
  <c r="R15" i="7" s="1"/>
  <c r="M13" i="3"/>
  <c r="J13" i="5"/>
  <c r="U18" i="3"/>
  <c r="U60"/>
  <c r="U66"/>
  <c r="U82"/>
  <c r="U16"/>
  <c r="U12"/>
  <c r="U76"/>
  <c r="U28"/>
  <c r="U35"/>
  <c r="U45"/>
  <c r="U51"/>
  <c r="U33"/>
  <c r="U64"/>
  <c r="U72"/>
  <c r="U56"/>
  <c r="U41"/>
  <c r="U74"/>
  <c r="U58"/>
  <c r="U43"/>
  <c r="U26"/>
  <c r="U10"/>
  <c r="U78"/>
  <c r="U62"/>
  <c r="U47"/>
  <c r="U30"/>
  <c r="U14"/>
  <c r="U80"/>
  <c r="U49"/>
  <c r="U84"/>
  <c r="U68"/>
  <c r="U53"/>
  <c r="U37"/>
  <c r="U20"/>
  <c r="U86"/>
  <c r="U70"/>
  <c r="U54"/>
  <c r="U39"/>
  <c r="U22"/>
  <c r="U85"/>
  <c r="U77"/>
  <c r="U69"/>
  <c r="U61"/>
  <c r="U46"/>
  <c r="U38"/>
  <c r="U29"/>
  <c r="U21"/>
  <c r="U13"/>
  <c r="A8"/>
  <c r="A8" i="5" s="1"/>
  <c r="A8" i="7" s="1"/>
  <c r="M76" i="5" l="1"/>
  <c r="AA76" s="1"/>
  <c r="J76" i="7"/>
  <c r="M21" i="5"/>
  <c r="M21" i="7" s="1"/>
  <c r="X21" s="1"/>
  <c r="J21"/>
  <c r="M34" i="5"/>
  <c r="AA34" s="1"/>
  <c r="J34" i="7"/>
  <c r="M12" i="5"/>
  <c r="J12" i="7"/>
  <c r="M60" i="5"/>
  <c r="AA60" s="1"/>
  <c r="J60" i="7"/>
  <c r="M74" i="5"/>
  <c r="M74" i="7" s="1"/>
  <c r="X74" s="1"/>
  <c r="J74"/>
  <c r="M20" i="5"/>
  <c r="M20" i="7" s="1"/>
  <c r="X20" s="1"/>
  <c r="J20"/>
  <c r="M35" i="5"/>
  <c r="AA35" s="1"/>
  <c r="J35" i="7"/>
  <c r="M47" i="5"/>
  <c r="AA47" s="1"/>
  <c r="J47" i="7"/>
  <c r="M66" i="5"/>
  <c r="M66" i="7" s="1"/>
  <c r="X66" s="1"/>
  <c r="J66"/>
  <c r="M14" i="5"/>
  <c r="AA14" s="1"/>
  <c r="J14" i="7"/>
  <c r="M86" i="5"/>
  <c r="AA86" s="1"/>
  <c r="J86" i="7"/>
  <c r="M11" i="5"/>
  <c r="AA11" s="1"/>
  <c r="J11" i="7"/>
  <c r="M26" i="5"/>
  <c r="AA26" s="1"/>
  <c r="J26" i="7"/>
  <c r="M85" i="5"/>
  <c r="AA85" s="1"/>
  <c r="N85" i="7"/>
  <c r="M75" i="5"/>
  <c r="AA75" s="1"/>
  <c r="J75" i="7"/>
  <c r="M25" i="5"/>
  <c r="AA25" s="1"/>
  <c r="J25" i="7"/>
  <c r="M55" i="5"/>
  <c r="AA55" s="1"/>
  <c r="J55" i="7"/>
  <c r="M83" i="5"/>
  <c r="AA83" s="1"/>
  <c r="J83" i="7"/>
  <c r="M70" i="5"/>
  <c r="AA70" s="1"/>
  <c r="J70" i="7"/>
  <c r="M46" i="5"/>
  <c r="AA46" s="1"/>
  <c r="J46" i="7"/>
  <c r="M40" i="5"/>
  <c r="AA40" s="1"/>
  <c r="K40" i="7"/>
  <c r="M44" i="5"/>
  <c r="AA44" s="1"/>
  <c r="J44" i="7"/>
  <c r="M22" i="5"/>
  <c r="M22" i="7" s="1"/>
  <c r="X22" s="1"/>
  <c r="J22"/>
  <c r="M63" i="5"/>
  <c r="AA63" s="1"/>
  <c r="J63" i="7"/>
  <c r="M37" i="5"/>
  <c r="AA37" s="1"/>
  <c r="J37" i="7"/>
  <c r="M62" i="5"/>
  <c r="M62" i="7" s="1"/>
  <c r="X62" s="1"/>
  <c r="J62"/>
  <c r="M23" i="5"/>
  <c r="J23" i="7"/>
  <c r="M19" i="5"/>
  <c r="AA19" s="1"/>
  <c r="J19" i="7"/>
  <c r="M87" i="5"/>
  <c r="AA87" s="1"/>
  <c r="J87" i="7"/>
  <c r="M13" i="5"/>
  <c r="AA13" s="1"/>
  <c r="J13" i="7"/>
  <c r="M57" i="5"/>
  <c r="M57" i="7" s="1"/>
  <c r="X57" s="1"/>
  <c r="J57"/>
  <c r="M72" i="5"/>
  <c r="AA72" s="1"/>
  <c r="K72" i="7"/>
  <c r="M79" i="5"/>
  <c r="AA79" s="1"/>
  <c r="J79" i="7"/>
  <c r="M8" i="5"/>
  <c r="AA8" s="1"/>
  <c r="K8" i="7"/>
  <c r="M69" i="5"/>
  <c r="M69" i="7" s="1"/>
  <c r="X69" s="1"/>
  <c r="J69"/>
  <c r="M29" i="5"/>
  <c r="AA29" s="1"/>
  <c r="J29" i="7"/>
  <c r="M56" i="5"/>
  <c r="AA56" s="1"/>
  <c r="K56" i="7"/>
  <c r="M81" i="5"/>
  <c r="AA81" s="1"/>
  <c r="J81" i="7"/>
  <c r="M28" i="5"/>
  <c r="M28" i="7" s="1"/>
  <c r="X28" s="1"/>
  <c r="J28"/>
  <c r="M64" i="5"/>
  <c r="AA64" s="1"/>
  <c r="K64" i="7"/>
  <c r="M10" i="5"/>
  <c r="AA10" s="1"/>
  <c r="J10" i="7"/>
  <c r="M68" i="5"/>
  <c r="AA68" s="1"/>
  <c r="J68" i="7"/>
  <c r="M65" i="5"/>
  <c r="M65" i="7" s="1"/>
  <c r="X65" s="1"/>
  <c r="J65"/>
  <c r="M82" i="5"/>
  <c r="M82" i="7" s="1"/>
  <c r="X82" s="1"/>
  <c r="J82"/>
  <c r="M50" i="5"/>
  <c r="AA50" s="1"/>
  <c r="J50" i="7"/>
  <c r="M31" i="5"/>
  <c r="AA31" s="1"/>
  <c r="J31" i="7"/>
  <c r="M33" i="5"/>
  <c r="M33" i="7" s="1"/>
  <c r="X33" s="1"/>
  <c r="J33"/>
  <c r="M78" i="5"/>
  <c r="AA78" s="1"/>
  <c r="J78" i="7"/>
  <c r="M52" i="5"/>
  <c r="M52" i="7" s="1"/>
  <c r="X52" s="1"/>
  <c r="J52"/>
  <c r="M9" i="5"/>
  <c r="M9" i="7" s="1"/>
  <c r="X9" s="1"/>
  <c r="J9"/>
  <c r="M38" i="5"/>
  <c r="AA38" s="1"/>
  <c r="J38" i="7"/>
  <c r="M58" i="5"/>
  <c r="M58" i="7" s="1"/>
  <c r="X58" s="1"/>
  <c r="J58"/>
  <c r="M43" i="5"/>
  <c r="M43" i="7" s="1"/>
  <c r="X43" s="1"/>
  <c r="J43"/>
  <c r="M84" i="5"/>
  <c r="AA84" s="1"/>
  <c r="J84" i="7"/>
  <c r="M41" i="5"/>
  <c r="AA41" s="1"/>
  <c r="J41" i="7"/>
  <c r="M16" i="5"/>
  <c r="AA16" s="1"/>
  <c r="K16" i="7"/>
  <c r="M48" i="5"/>
  <c r="M48" i="7" s="1"/>
  <c r="X48" s="1"/>
  <c r="K48"/>
  <c r="M18" i="5"/>
  <c r="AA18" s="1"/>
  <c r="J18" i="7"/>
  <c r="M71" i="5"/>
  <c r="AA71" s="1"/>
  <c r="J71" i="7"/>
  <c r="M24" i="5"/>
  <c r="AA24" s="1"/>
  <c r="K24" i="7"/>
  <c r="M39" i="5"/>
  <c r="AA39" s="1"/>
  <c r="J39" i="7"/>
  <c r="M27" i="5"/>
  <c r="AA27" s="1"/>
  <c r="J27" i="7"/>
  <c r="M36" i="5"/>
  <c r="AA36" s="1"/>
  <c r="J36" i="7"/>
  <c r="M15" i="5"/>
  <c r="AA15" s="1"/>
  <c r="J15" i="7"/>
  <c r="M53" i="5"/>
  <c r="AA53" s="1"/>
  <c r="J53" i="7"/>
  <c r="M77" i="5"/>
  <c r="M77" i="7" s="1"/>
  <c r="X77" s="1"/>
  <c r="N77"/>
  <c r="M30" i="5"/>
  <c r="M30" i="7" s="1"/>
  <c r="X30" s="1"/>
  <c r="J30"/>
  <c r="M73" i="5"/>
  <c r="M73" i="7" s="1"/>
  <c r="X73" s="1"/>
  <c r="J73"/>
  <c r="M45" i="5"/>
  <c r="AA45" s="1"/>
  <c r="J45" i="7"/>
  <c r="M67" i="5"/>
  <c r="AA67" s="1"/>
  <c r="J67" i="7"/>
  <c r="M61" i="5"/>
  <c r="M61" i="7" s="1"/>
  <c r="X61" s="1"/>
  <c r="J61"/>
  <c r="M51" i="5"/>
  <c r="AA51" s="1"/>
  <c r="J51" i="7"/>
  <c r="M42" i="5"/>
  <c r="M42" i="7" s="1"/>
  <c r="X42" s="1"/>
  <c r="J42"/>
  <c r="M59" i="5"/>
  <c r="AA59" s="1"/>
  <c r="J59" i="7"/>
  <c r="M80" i="5"/>
  <c r="M80" i="7" s="1"/>
  <c r="X80" s="1"/>
  <c r="K80"/>
  <c r="M12"/>
  <c r="X12" s="1"/>
  <c r="AA12" i="5"/>
  <c r="T11" i="7"/>
  <c r="T27"/>
  <c r="T44"/>
  <c r="T57"/>
  <c r="T46"/>
  <c r="T49"/>
  <c r="M59"/>
  <c r="X59" s="1"/>
  <c r="M23"/>
  <c r="X23" s="1"/>
  <c r="AA23" i="5"/>
  <c r="T51" i="7"/>
  <c r="M14"/>
  <c r="X14" s="1"/>
  <c r="T23"/>
  <c r="T40"/>
  <c r="T17"/>
  <c r="T63"/>
  <c r="M70"/>
  <c r="X70" s="1"/>
  <c r="T36"/>
  <c r="T52"/>
  <c r="T9"/>
  <c r="T42"/>
  <c r="T59"/>
  <c r="T24"/>
  <c r="T61"/>
  <c r="T19"/>
  <c r="T15"/>
  <c r="T31"/>
  <c r="T48"/>
  <c r="T65"/>
  <c r="T67"/>
  <c r="T34"/>
  <c r="T55"/>
  <c r="M17" i="3"/>
  <c r="M49"/>
  <c r="M17" i="5"/>
  <c r="M49"/>
  <c r="T50" i="3"/>
  <c r="T50" i="5" s="1"/>
  <c r="U25" i="3"/>
  <c r="U25" i="5" s="1"/>
  <c r="T25" i="3"/>
  <c r="T25" i="5" s="1"/>
  <c r="U24" i="3"/>
  <c r="U24" i="5" s="1"/>
  <c r="U78"/>
  <c r="U33"/>
  <c r="U11"/>
  <c r="U44"/>
  <c r="U57"/>
  <c r="U71"/>
  <c r="U13"/>
  <c r="U41"/>
  <c r="U69"/>
  <c r="U76"/>
  <c r="U61"/>
  <c r="U53"/>
  <c r="U62"/>
  <c r="U74"/>
  <c r="U18"/>
  <c r="U46"/>
  <c r="U37"/>
  <c r="U47"/>
  <c r="U58"/>
  <c r="U64"/>
  <c r="U28"/>
  <c r="U82"/>
  <c r="U54"/>
  <c r="U43"/>
  <c r="U23"/>
  <c r="U40"/>
  <c r="U81"/>
  <c r="U83"/>
  <c r="U17"/>
  <c r="U50"/>
  <c r="U63"/>
  <c r="U22"/>
  <c r="U49"/>
  <c r="U51"/>
  <c r="U38"/>
  <c r="U20"/>
  <c r="U30"/>
  <c r="U35"/>
  <c r="U29"/>
  <c r="U86"/>
  <c r="U14"/>
  <c r="U26"/>
  <c r="U72"/>
  <c r="U16"/>
  <c r="U21"/>
  <c r="U70"/>
  <c r="U80"/>
  <c r="U10"/>
  <c r="U56"/>
  <c r="R24"/>
  <c r="R24" i="7" s="1"/>
  <c r="U19" i="5"/>
  <c r="U36"/>
  <c r="U52"/>
  <c r="U73"/>
  <c r="U75"/>
  <c r="U9"/>
  <c r="U42"/>
  <c r="U59"/>
  <c r="U87"/>
  <c r="U60"/>
  <c r="U85"/>
  <c r="U77"/>
  <c r="U39"/>
  <c r="U84"/>
  <c r="U45"/>
  <c r="U12"/>
  <c r="U66"/>
  <c r="U15"/>
  <c r="U31"/>
  <c r="U48"/>
  <c r="U65"/>
  <c r="U67"/>
  <c r="U34"/>
  <c r="U55"/>
  <c r="U79"/>
  <c r="U68"/>
  <c r="U27"/>
  <c r="M8" i="3"/>
  <c r="AA21" i="5" l="1"/>
  <c r="M18" i="7"/>
  <c r="X18" s="1"/>
  <c r="AA20" i="5"/>
  <c r="M81" i="7"/>
  <c r="X81" s="1"/>
  <c r="AA74" i="5"/>
  <c r="AA28"/>
  <c r="M27" i="7"/>
  <c r="X27" s="1"/>
  <c r="M13"/>
  <c r="X13" s="1"/>
  <c r="M44"/>
  <c r="X44" s="1"/>
  <c r="M25"/>
  <c r="X25" s="1"/>
  <c r="M47"/>
  <c r="X47" s="1"/>
  <c r="AA9" i="5"/>
  <c r="M8" i="7"/>
  <c r="X8" s="1"/>
  <c r="M34"/>
  <c r="X34" s="1"/>
  <c r="M11"/>
  <c r="X11" s="1"/>
  <c r="M38"/>
  <c r="X38" s="1"/>
  <c r="AA22" i="5"/>
  <c r="M83" i="7"/>
  <c r="X83" s="1"/>
  <c r="M84"/>
  <c r="X84" s="1"/>
  <c r="AA57" i="5"/>
  <c r="M37" i="7"/>
  <c r="X37" s="1"/>
  <c r="AA65" i="5"/>
  <c r="M36" i="7"/>
  <c r="X36" s="1"/>
  <c r="AA69" i="5"/>
  <c r="M40" i="7"/>
  <c r="X40" s="1"/>
  <c r="M26"/>
  <c r="X26" s="1"/>
  <c r="AA77" i="5"/>
  <c r="M68" i="7"/>
  <c r="X68" s="1"/>
  <c r="M67"/>
  <c r="X67" s="1"/>
  <c r="AA66" i="5"/>
  <c r="AA61"/>
  <c r="M31" i="7"/>
  <c r="X31" s="1"/>
  <c r="M24"/>
  <c r="X24" s="1"/>
  <c r="AA43" i="5"/>
  <c r="AA33"/>
  <c r="M10" i="7"/>
  <c r="X10" s="1"/>
  <c r="AA48" i="5"/>
  <c r="AA42"/>
  <c r="M56" i="7"/>
  <c r="X56" s="1"/>
  <c r="M87"/>
  <c r="X87" s="1"/>
  <c r="AA52" i="5"/>
  <c r="AA62"/>
  <c r="M53" i="7"/>
  <c r="X53" s="1"/>
  <c r="M79"/>
  <c r="X79" s="1"/>
  <c r="AA58" i="5"/>
  <c r="M75" i="7"/>
  <c r="X75" s="1"/>
  <c r="AA30" i="5"/>
  <c r="M45" i="7"/>
  <c r="X45" s="1"/>
  <c r="M51"/>
  <c r="X51" s="1"/>
  <c r="AA80" i="5"/>
  <c r="M50" i="7"/>
  <c r="X50" s="1"/>
  <c r="M15"/>
  <c r="X15" s="1"/>
  <c r="M39"/>
  <c r="X39" s="1"/>
  <c r="M71"/>
  <c r="X71" s="1"/>
  <c r="AA82" i="5"/>
  <c r="M76" i="7"/>
  <c r="X76" s="1"/>
  <c r="M63"/>
  <c r="X63" s="1"/>
  <c r="M86"/>
  <c r="X86" s="1"/>
  <c r="AA73" i="5"/>
  <c r="M46" i="7"/>
  <c r="X46" s="1"/>
  <c r="M55"/>
  <c r="X55" s="1"/>
  <c r="M64"/>
  <c r="X64" s="1"/>
  <c r="M35"/>
  <c r="X35" s="1"/>
  <c r="M72"/>
  <c r="X72" s="1"/>
  <c r="M19"/>
  <c r="X19" s="1"/>
  <c r="M85"/>
  <c r="X85" s="1"/>
  <c r="M16"/>
  <c r="X16" s="1"/>
  <c r="M41"/>
  <c r="X41" s="1"/>
  <c r="M29"/>
  <c r="X29" s="1"/>
  <c r="M78"/>
  <c r="X78" s="1"/>
  <c r="M60"/>
  <c r="X60" s="1"/>
  <c r="W68" i="5"/>
  <c r="U68" i="7"/>
  <c r="W68" s="1"/>
  <c r="W81" i="5"/>
  <c r="U81" i="7"/>
  <c r="W81" s="1"/>
  <c r="W71" i="5"/>
  <c r="U71" i="7"/>
  <c r="W71" s="1"/>
  <c r="W31" i="5"/>
  <c r="U31" i="7"/>
  <c r="W31" s="1"/>
  <c r="W33" i="5"/>
  <c r="U33" i="7"/>
  <c r="W33" s="1"/>
  <c r="W26" i="5"/>
  <c r="U26" i="7"/>
  <c r="W26" s="1"/>
  <c r="W41" i="5"/>
  <c r="U41" i="7"/>
  <c r="W41" s="1"/>
  <c r="W11" i="5"/>
  <c r="U11" i="7"/>
  <c r="W11" s="1"/>
  <c r="W80" i="5"/>
  <c r="U80" i="7"/>
  <c r="W80" s="1"/>
  <c r="W10" i="5"/>
  <c r="U10" i="7"/>
  <c r="W10" s="1"/>
  <c r="W82" i="5"/>
  <c r="Y82" s="1"/>
  <c r="U82" i="7"/>
  <c r="W82" s="1"/>
  <c r="W44" i="5"/>
  <c r="U44" i="7"/>
  <c r="W44" s="1"/>
  <c r="W79" i="5"/>
  <c r="U79" i="7"/>
  <c r="W79" s="1"/>
  <c r="W73" i="5"/>
  <c r="U73" i="7"/>
  <c r="W73" s="1"/>
  <c r="W78" i="5"/>
  <c r="Y78" s="1"/>
  <c r="U78" i="7"/>
  <c r="W78" s="1"/>
  <c r="W77" i="5"/>
  <c r="U77" i="7"/>
  <c r="W77" s="1"/>
  <c r="W14" i="5"/>
  <c r="U14" i="7"/>
  <c r="W14" s="1"/>
  <c r="W74" i="5"/>
  <c r="U74" i="7"/>
  <c r="W74" s="1"/>
  <c r="W27" i="5"/>
  <c r="U27" i="7"/>
  <c r="W27" s="1"/>
  <c r="W39" i="5"/>
  <c r="U39" i="7"/>
  <c r="W39" s="1"/>
  <c r="W56" i="5"/>
  <c r="Y56" s="1"/>
  <c r="U56" i="7"/>
  <c r="W56" s="1"/>
  <c r="W51" i="5"/>
  <c r="U51" i="7"/>
  <c r="W51" s="1"/>
  <c r="W65" i="5"/>
  <c r="U65" i="7"/>
  <c r="W65" s="1"/>
  <c r="W42" i="5"/>
  <c r="Y42" s="1"/>
  <c r="U42" i="7"/>
  <c r="W42" s="1"/>
  <c r="W72" i="5"/>
  <c r="U72" i="7"/>
  <c r="W72" s="1"/>
  <c r="W17" i="5"/>
  <c r="U17" i="7"/>
  <c r="W17" s="1"/>
  <c r="W18" i="5"/>
  <c r="U18" i="7"/>
  <c r="W18" s="1"/>
  <c r="W69" i="5"/>
  <c r="U69" i="7"/>
  <c r="W69" s="1"/>
  <c r="M49"/>
  <c r="X49" s="1"/>
  <c r="AA49" i="5"/>
  <c r="W67"/>
  <c r="U67" i="7"/>
  <c r="W67" s="1"/>
  <c r="W59" i="5"/>
  <c r="U59" i="7"/>
  <c r="W59" s="1"/>
  <c r="W16" i="5"/>
  <c r="U16" i="7"/>
  <c r="W16" s="1"/>
  <c r="W20" i="5"/>
  <c r="U20" i="7"/>
  <c r="W20" s="1"/>
  <c r="W50" i="5"/>
  <c r="U50" i="7"/>
  <c r="W50" s="1"/>
  <c r="W54" i="5"/>
  <c r="U54" i="7"/>
  <c r="W54" s="1"/>
  <c r="W57" i="5"/>
  <c r="U57" i="7"/>
  <c r="W57" s="1"/>
  <c r="T50"/>
  <c r="W15" i="5"/>
  <c r="U15" i="7"/>
  <c r="W15" s="1"/>
  <c r="W58" i="5"/>
  <c r="U58" i="7"/>
  <c r="W58" s="1"/>
  <c r="W64" i="5"/>
  <c r="U64" i="7"/>
  <c r="W64" s="1"/>
  <c r="W28" i="5"/>
  <c r="U28" i="7"/>
  <c r="W28" s="1"/>
  <c r="W87" i="5"/>
  <c r="U87" i="7"/>
  <c r="W87" s="1"/>
  <c r="W76" i="5"/>
  <c r="U76" i="7"/>
  <c r="W76" s="1"/>
  <c r="W85" i="5"/>
  <c r="U85" i="7"/>
  <c r="W85" s="1"/>
  <c r="W62" i="5"/>
  <c r="U62" i="7"/>
  <c r="W62" s="1"/>
  <c r="M17"/>
  <c r="X17" s="1"/>
  <c r="AA17" i="5"/>
  <c r="W75"/>
  <c r="U75" i="7"/>
  <c r="W75" s="1"/>
  <c r="W49" i="5"/>
  <c r="U49" i="7"/>
  <c r="W49" s="1"/>
  <c r="W13" i="5"/>
  <c r="U13" i="7"/>
  <c r="W13" s="1"/>
  <c r="W48" i="5"/>
  <c r="U48" i="7"/>
  <c r="W48" s="1"/>
  <c r="W9" i="5"/>
  <c r="U9" i="7"/>
  <c r="W9" s="1"/>
  <c r="W83" i="5"/>
  <c r="U83" i="7"/>
  <c r="W83" s="1"/>
  <c r="W84" i="5"/>
  <c r="U84" i="7"/>
  <c r="W84" s="1"/>
  <c r="W38" i="5"/>
  <c r="U38" i="7"/>
  <c r="W38" s="1"/>
  <c r="W45" i="5"/>
  <c r="U45" i="7"/>
  <c r="W45" s="1"/>
  <c r="W19" i="5"/>
  <c r="U19" i="7"/>
  <c r="W19" s="1"/>
  <c r="W21" i="5"/>
  <c r="U21" i="7"/>
  <c r="W21" s="1"/>
  <c r="W30" i="5"/>
  <c r="U30" i="7"/>
  <c r="W30" s="1"/>
  <c r="W63" i="5"/>
  <c r="U63" i="7"/>
  <c r="W63" s="1"/>
  <c r="W43" i="5"/>
  <c r="U43" i="7"/>
  <c r="W43" s="1"/>
  <c r="W46" i="5"/>
  <c r="Y46" s="1"/>
  <c r="U46" i="7"/>
  <c r="W46" s="1"/>
  <c r="W25" i="5"/>
  <c r="U25" i="7"/>
  <c r="W25" s="1"/>
  <c r="W34" i="5"/>
  <c r="U34" i="7"/>
  <c r="W34" s="1"/>
  <c r="W12" i="5"/>
  <c r="Y12" s="1"/>
  <c r="U12" i="7"/>
  <c r="W12" s="1"/>
  <c r="W60" i="5"/>
  <c r="U60" i="7"/>
  <c r="W60" s="1"/>
  <c r="W36" i="5"/>
  <c r="U36" i="7"/>
  <c r="W36" s="1"/>
  <c r="W35" i="5"/>
  <c r="U35" i="7"/>
  <c r="W35" s="1"/>
  <c r="W23" i="5"/>
  <c r="U23" i="7"/>
  <c r="W23" s="1"/>
  <c r="W37" i="5"/>
  <c r="U37" i="7"/>
  <c r="W37" s="1"/>
  <c r="W61" i="5"/>
  <c r="U61" i="7"/>
  <c r="W61" s="1"/>
  <c r="T25"/>
  <c r="W86" i="5"/>
  <c r="U86" i="7"/>
  <c r="W86" s="1"/>
  <c r="W55" i="5"/>
  <c r="U55" i="7"/>
  <c r="W55" s="1"/>
  <c r="W66" i="5"/>
  <c r="U66" i="7"/>
  <c r="W66" s="1"/>
  <c r="W52" i="5"/>
  <c r="U52" i="7"/>
  <c r="W52" s="1"/>
  <c r="W70" i="5"/>
  <c r="U70" i="7"/>
  <c r="W70" s="1"/>
  <c r="W29" i="5"/>
  <c r="U29" i="7"/>
  <c r="W29" s="1"/>
  <c r="W22" i="5"/>
  <c r="U22" i="7"/>
  <c r="W22" s="1"/>
  <c r="W40" i="5"/>
  <c r="U40" i="7"/>
  <c r="W40" s="1"/>
  <c r="W47" i="5"/>
  <c r="U47" i="7"/>
  <c r="W47" s="1"/>
  <c r="W53" i="5"/>
  <c r="U53" i="7"/>
  <c r="W53" s="1"/>
  <c r="U24"/>
  <c r="W24" s="1"/>
  <c r="W24" i="5"/>
  <c r="T8" i="3" l="1"/>
  <c r="T8" i="5" s="1"/>
  <c r="T8" i="7" s="1"/>
  <c r="U8" i="3"/>
  <c r="U8" i="5" s="1"/>
  <c r="W8" l="1"/>
  <c r="U8" i="7"/>
  <c r="W8" s="1"/>
</calcChain>
</file>

<file path=xl/comments1.xml><?xml version="1.0" encoding="utf-8"?>
<comments xmlns="http://schemas.openxmlformats.org/spreadsheetml/2006/main">
  <authors>
    <author>DAF</author>
  </authors>
  <commentList>
    <comment ref="AA86" authorId="0">
      <text>
        <r>
          <rPr>
            <b/>
            <sz val="9"/>
            <color indexed="81"/>
            <rFont val="Tahoma"/>
            <family val="2"/>
          </rPr>
          <t>DAF:</t>
        </r>
        <r>
          <rPr>
            <sz val="9"/>
            <color indexed="81"/>
            <rFont val="Tahoma"/>
            <family val="2"/>
          </rPr>
          <t xml:space="preserve">
Valor medido e compesado pela diferença do preço do fresado</t>
        </r>
      </text>
    </comment>
  </commentList>
</comments>
</file>

<file path=xl/sharedStrings.xml><?xml version="1.0" encoding="utf-8"?>
<sst xmlns="http://schemas.openxmlformats.org/spreadsheetml/2006/main" count="901" uniqueCount="381">
  <si>
    <t>MAPA DEMONSTRATIVO DE OBRAS E SERVIÇOS DE ENGENHARIA</t>
  </si>
  <si>
    <t>Responsável pelo preenchimento</t>
  </si>
  <si>
    <t>Responsável pela Unidade</t>
  </si>
  <si>
    <t>Ordenador de Despesa</t>
  </si>
  <si>
    <t>MODALIDADE / Nº LICITAÇÃO</t>
  </si>
  <si>
    <t>IDENTIFICAÇÃO DA OBRA, SERVIÇO OU AQUISIÇÃO</t>
  </si>
  <si>
    <t>CONVÊNIO</t>
  </si>
  <si>
    <t>CONTRATADO</t>
  </si>
  <si>
    <t>CONTRATO</t>
  </si>
  <si>
    <t>ADITIVO</t>
  </si>
  <si>
    <t>REAJUSTE
(R$)</t>
  </si>
  <si>
    <t>EXECUÇÃO</t>
  </si>
  <si>
    <t>SITUAÇÃO</t>
  </si>
  <si>
    <t>Nº/Ano</t>
  </si>
  <si>
    <t>CONCEDENTE</t>
  </si>
  <si>
    <t>REPASSE
(R$)</t>
  </si>
  <si>
    <t>CONTRAPARTIDA (R$)</t>
  </si>
  <si>
    <t>CNPJ/CPF</t>
  </si>
  <si>
    <t>RAZÃO SOCIAL</t>
  </si>
  <si>
    <t>DATA INÍCIO</t>
  </si>
  <si>
    <t>PRAZO</t>
  </si>
  <si>
    <t>VALOR CONTRATADO (R$)</t>
  </si>
  <si>
    <t>DATA CONCLUSÃO / PARALISAÇÃO</t>
  </si>
  <si>
    <t>PRAZO ADITADO</t>
  </si>
  <si>
    <t>VALOR ADITADO ACUMULADO
(R$)</t>
  </si>
  <si>
    <t>NATUREZA DA DESPESA</t>
  </si>
  <si>
    <t>VALOR MEDIDO ACUMULADO
(R$)</t>
  </si>
  <si>
    <t>VALOR PAGO ACUMULADO NO PERÍODO
(R$)</t>
  </si>
  <si>
    <t>VALOR PAGO ACUMULADO NO EXERCÍCIO
(R$)</t>
  </si>
  <si>
    <t>VALOR  PAGO ACUMULADO NA OBRA OU SERVIÇO
(R$)</t>
  </si>
  <si>
    <t>3.3.90.39</t>
  </si>
  <si>
    <t>andamento</t>
  </si>
  <si>
    <t>06.157.352/0001-31</t>
  </si>
  <si>
    <t>10.811.370/0001-62</t>
  </si>
  <si>
    <t>005/2016</t>
  </si>
  <si>
    <t>40.884.405/0001-54</t>
  </si>
  <si>
    <t>41.116.138/0001-38</t>
  </si>
  <si>
    <t xml:space="preserve">REAL ENERGY LTDA                                            </t>
  </si>
  <si>
    <t>11.187.606/0001-02</t>
  </si>
  <si>
    <t xml:space="preserve">ATEPE ASSOCIACAO TECNOLOGICA DE PERNAMBUCO                  </t>
  </si>
  <si>
    <t>ROBERTO &amp; JAIR COMÉRCIO E SERVIÇOS LTDA-ME</t>
  </si>
  <si>
    <t>007/2015</t>
  </si>
  <si>
    <t>01.346.561/0001-00</t>
  </si>
  <si>
    <t>VASCONCELOS E SANTOS LTDA</t>
  </si>
  <si>
    <t>08.165.091/0002-08</t>
  </si>
  <si>
    <t>12.854.865/0001-02</t>
  </si>
  <si>
    <t>02.536.066/0015-21</t>
  </si>
  <si>
    <t xml:space="preserve">CONSTRUTORA MARDIFI LTDA - EPP </t>
  </si>
  <si>
    <t>ENGEMAIA E CIA LTDA</t>
  </si>
  <si>
    <t>4.4.90.39</t>
  </si>
  <si>
    <t xml:space="preserve">ECOPESA AMBIENTAL S/A                   </t>
  </si>
  <si>
    <t>PREGÃO  / Nº 14/2016</t>
  </si>
  <si>
    <t xml:space="preserve">SERVIÇOS DE LIMPEZA URBANA – DESTINAÇÃO FINAL DOS RESÍDUOS SÓLIDOS </t>
  </si>
  <si>
    <t>6-022/16</t>
  </si>
  <si>
    <t>VITAL ENGENHARIA AMBIENTAL S/A</t>
  </si>
  <si>
    <t>CONCORRÊNCIA 03/2016</t>
  </si>
  <si>
    <t xml:space="preserve">SERVIÇOS DE APOIO TÉCNICO AO MKONITORAMENTO DAS AÇÕES DE MANUTENÇÃO DO SISTEMA VIÁRIO DA CIDADE DO RECIFE, </t>
  </si>
  <si>
    <t xml:space="preserve">41.075.755/0001-32 </t>
  </si>
  <si>
    <t>6-023/16</t>
  </si>
  <si>
    <t>COELHO DE  ANDRADE ENGENHARIA LTDA</t>
  </si>
  <si>
    <t>6-024/16</t>
  </si>
  <si>
    <t>01.514.128/0001-36</t>
  </si>
  <si>
    <t>00.999.591/0001-52</t>
  </si>
  <si>
    <t xml:space="preserve">AGC CONSTRUTORA E EMPREENDIMENTOS LTDA                      </t>
  </si>
  <si>
    <t>6-002/17</t>
  </si>
  <si>
    <t>SEVIÇOS CONTÍNUOS DE MANUTENÇÃO CORRETIVA E PREVENTIVA E EXPANSÃO DA ILUMINAÇÃO ESPECIAL NA CIDADE DO RECIFE</t>
  </si>
  <si>
    <t>LOQUIPE LOCACAO DE EQUIPAMENTOS E MAO DE OBRA LTDA</t>
  </si>
  <si>
    <t>Relatório de Compatibilidade para Mapa Demonstrativo de Obras  2 tri Maio 2017 .xls</t>
  </si>
  <si>
    <t>Executar em 20/06/2017 11:13</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</si>
  <si>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</si>
  <si>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</si>
  <si>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</si>
  <si>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</si>
  <si>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</si>
  <si>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</si>
  <si>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PREGÃO PRESENCIAL/ Nº 014/2016</t>
  </si>
  <si>
    <t>SERVIÇO DE LIMPEZA URBANA - DESTINAÇÃO FINAL DOS RESÍDUOS SÓLIDOS</t>
  </si>
  <si>
    <t>CICLO AMBIENTAL LTDA</t>
  </si>
  <si>
    <t>6-025/16</t>
  </si>
  <si>
    <t>6-013/17</t>
  </si>
  <si>
    <t>SERVIÇOS ESPECIALIZADOS DE ENGENHARIA AGRONÔMICA COM SERVIÇOS DE MANUTENÇÃO DE ARBORETO, PARQUES, PRAÇAS E DEMAIS ÁREAS VERDES</t>
  </si>
  <si>
    <t> PREGÃO PRESENCIAL Licitação: 4/2017</t>
  </si>
  <si>
    <t>CONSTRUTORA FAELLA LTDA EPP</t>
  </si>
  <si>
    <t>11.523.068/0001-71</t>
  </si>
  <si>
    <t>UNIDADE ORÇAMENTÁRIA: AUTARQUIA DE MANUTENÇÃO E LIMPEZA URBANA – EMLURB</t>
  </si>
  <si>
    <t>REPASSE (R$)</t>
  </si>
  <si>
    <t>05.625.079/0001-60</t>
  </si>
  <si>
    <t>PERÍODO REFERENCIAL: JANEIRO A DEZEMBRO</t>
  </si>
  <si>
    <t>00.449.936/0001-02</t>
  </si>
  <si>
    <t>007/2015 E 001/2017</t>
  </si>
  <si>
    <t>Responsavél pelo preenchimento</t>
  </si>
  <si>
    <t>23.742.620/0001-00</t>
  </si>
  <si>
    <t>GUERRA CONSTRUCOES LTDA</t>
  </si>
  <si>
    <t>03.834.750/0001-57</t>
  </si>
  <si>
    <t>EIP SERVICOS DE ILUMINACAO LTDA</t>
  </si>
  <si>
    <t>07.693.988/0001-60</t>
  </si>
  <si>
    <t>F R F ENGENHARIA LTDA</t>
  </si>
  <si>
    <t>SERVIÇOS DE MANUTENÇÃO PREVENTIVA DO SISTEMA DE MACRODRENAGEM EM TODAS AS RPA'S DA CIDADE DO RECIFE - RPA 01 E 06</t>
  </si>
  <si>
    <t>CONCORRÊNCIA Licitação: 10/2018</t>
  </si>
  <si>
    <t>SCAVE SERVICOS DE ENGENHARIA E LOCACAO LTDA</t>
  </si>
  <si>
    <t>6-017/19</t>
  </si>
  <si>
    <t>6-018/19</t>
  </si>
  <si>
    <t>SERVIÇOS DE MANUTENÇÃO PREVENTIVA DO SISTEMA DE MACRODRENAGEM EM TODAS AS RPA'S DA CIDADE DO RECIFE - RPA 04, 05</t>
  </si>
  <si>
    <t>SERVIÇOS DE MANUTENÇÃO PREVENTIVA DO SISTEMA DE MACRODRENAGEM EM TODAS AS RPA'S DA CIDADE DO RECIFE - RPA 02 e 03</t>
  </si>
  <si>
    <t>6-019/19</t>
  </si>
  <si>
    <t>40.882.060/0001-08</t>
  </si>
  <si>
    <t>LIDERMAC CONSTRUCOES E EQUIPAMENTOS LTDA</t>
  </si>
  <si>
    <t>07.086.088/0001-55</t>
  </si>
  <si>
    <t>SOLO CONSTRUCOES E TERRAPLANAGEM LTDA</t>
  </si>
  <si>
    <t>FINISA</t>
  </si>
  <si>
    <t>SERVIÇOS COMPLEMENTARES DE LIMPEZA URBANA EM ÁREAS PLANAS E DE TALUDE E SERVIÇOS DE MANUTENÇÃO CONTÍNUA PREVENTIVA E CORRETIVA DA ARBORIZAÇÃO URBANA EM MORROS, INCLUINDO A LOCAÇÃO DE VEÍCULOS E EQUIPAMENTOS.</t>
  </si>
  <si>
    <t>6-024/19</t>
  </si>
  <si>
    <t>CONCORRÊNCIA Licitação:    004/2019</t>
  </si>
  <si>
    <t>MARÍLIA DANTAS DA SILVA –Diretora Presidente – CPF: 047.828.504-33</t>
  </si>
  <si>
    <t>UNIDADE: 5010</t>
  </si>
  <si>
    <t>REAL ENERGY LTDA</t>
  </si>
  <si>
    <t>EMPRESA DE ENGENHARIA ESPECIALIZADA EM ILUMINAÇÃO PÚBLICA, PARA FORNECIMENTO E INSTALAÇÃO DE EQUIPAMENTOS DE SEGURANÇA CONTRA VAZAMENTO DE CORRENTES ELÉTRICAS E ATERRAMENTO DOS POSTES DE ILUMINAÇÃO PUBLICA DAS PRAÇAS E PARQUES DA CIDADE DO RECIFE.</t>
  </si>
  <si>
    <t>CONCORRÊNCIA / nº 007/2019</t>
  </si>
  <si>
    <t>6-051/19</t>
  </si>
  <si>
    <t>THAIANE JACÓ ARRAES ARAGÃO - CPF 055.059.884-74</t>
  </si>
  <si>
    <t>07.157.925/0001-90</t>
  </si>
  <si>
    <t>WB CONSTRUTORA LTDA</t>
  </si>
  <si>
    <t>495721/2018 e 02/2018 , 16/2019 e 01/2020</t>
  </si>
  <si>
    <t>FINISA e CTTU</t>
  </si>
  <si>
    <r>
      <t xml:space="preserve">PERÍODO REFERENCIAL: </t>
    </r>
    <r>
      <rPr>
        <b/>
        <sz val="8"/>
        <rFont val="Calibri"/>
        <family val="2"/>
      </rPr>
      <t>JANEIRO A MARÇO</t>
    </r>
  </si>
  <si>
    <t>TOMADA DE PREÇOS Licitação: 1/2020</t>
  </si>
  <si>
    <t>PRESTAÇÃO DE SERVIÇO DE MANUTENÇÃO E RECUPERAÇÃO AMBIENTAL DO ATERRO CONTROLADO DA MURIBECA</t>
  </si>
  <si>
    <t>6-013/20</t>
  </si>
  <si>
    <t>CONCORRÊNCIA / nº 19/2019</t>
  </si>
  <si>
    <t>SERVIÇO DE MANUTENÇÃO DO SISTEMA DE MICRODRENAGEM DE AGUAS PLUVIAIS EM TODAS AS RPAS DA CIDADE DO RECIFE - 04 E 05</t>
  </si>
  <si>
    <t>6-015/20</t>
  </si>
  <si>
    <t>SERVIÇO DE MANUTENÇÃO DO SISTEMA DE MICRODRENAGEM DE AGUAS PLUVIAIS EM TODAS AS RPAS DO RECIFE - RPA 06</t>
  </si>
  <si>
    <t>6-016/20</t>
  </si>
  <si>
    <t>MONITORAMENTO AMBIENTAL DO ATERRO CONTROLADO DA MURIBECA E SERVIÇOS DE CONSULTORIA TECNOLÓGICA PARA TRATAMENTO DE RESÍDUOS SÓLIDOS URBANOS</t>
  </si>
  <si>
    <t>6-018/20</t>
  </si>
  <si>
    <t>DISP 3/2020</t>
  </si>
  <si>
    <t>10.698.641/0001-15</t>
  </si>
  <si>
    <t>CONSTRUTORA MASTER EIRELI ME</t>
  </si>
  <si>
    <t>CONCORRÊNCIA Licitação: 1/2020</t>
  </si>
  <si>
    <t>SERVIÇOS DE MANUTENÇÃO CORRETIVA DE VIAS NÃO PAVIMENTADAS DO SISTEMA VIÁRIO DA CIDADE DO RECIFE, COMPOSTOS BASICAMENTE POR SERVIÇOS DE TERRAPLENAGEM.</t>
  </si>
  <si>
    <t>6-024/20</t>
  </si>
  <si>
    <t>CONCORRÊNCIA Licitação: 3/2020</t>
  </si>
  <si>
    <t>SERVIÇOS DE IMPLANTAÇÃO/REQUALIFICAÇÃO DA REDE DE DRENAGEM E PAVIMENTAÇÃO DAS RUAS DAVID NASSER E SENADOR THOMAZ LOBO</t>
  </si>
  <si>
    <t>6-027/20</t>
  </si>
  <si>
    <t>CONCORRÊNCIA Licitação: 2/2020</t>
  </si>
  <si>
    <t>CONTRATAÇÃO DOS SERVIÇOS DE MANUTENÇÃO CORRETIVA DO SISTEMA VIÁRIO DO RECIFE RPA 01</t>
  </si>
  <si>
    <t>INSTTALE ENGENHARIA LTDA</t>
  </si>
  <si>
    <t>6-029/20</t>
  </si>
  <si>
    <t>CONTRATAÇÃO DOS SERVIÇOS DE MANUTENÇÃO CORRETIVA DO SISTEMA VIÁRIO DO RECIFE RPA 02 E 03</t>
  </si>
  <si>
    <t>6-030/20</t>
  </si>
  <si>
    <t>CONTRATAÇÃO DOS SERVIÇOS DE MANUTENÇÃO CORRETIVA DO SISTEMA VIÁRIO DO RECIFE RPA 04 E 05</t>
  </si>
  <si>
    <t>6-031/20</t>
  </si>
  <si>
    <t>CONTRATAÇÃO DOS SERVIÇOS DE MANUTENÇÃO CORRETIVA DO SISTEMA VIÁRIO DO RECIFE RPA 06</t>
  </si>
  <si>
    <t>6-032/20</t>
  </si>
  <si>
    <t>495721/2018 e 535346/2020</t>
  </si>
  <si>
    <t>535346/2020</t>
  </si>
  <si>
    <t>6-043/20</t>
  </si>
  <si>
    <t>TOMADA DE PREÇOS / 005/2020</t>
  </si>
  <si>
    <t>CONTRATACAO DE DE EMPRESA DE ENGENHARIA PARA EXECUCAO DE SERVICOS DE MANUTENCAO DE FONTES. COM BOMBAS CENTRIFUGAS DE 5 A 25 CV. ILUMINACAO ESPECIAL E OPERACAO AUTOMATIZADA POR QUADRO DE COMANDO INTERRUPTO HORARIO</t>
  </si>
  <si>
    <t>6-044/20</t>
  </si>
  <si>
    <t>CONTRATAÇÃO DE EMPRESA DE ENGENHARIA ESPECIALIZADA EM ILUMINAÇÃO PÚBLICA, PARA EXECUÇÃO DOS SERVIÇOS DE MANUTENÇÃO CONTÍNUA, CORRETIVA E PREVENTIVA, DO SISTEMA DE ILUMINAÇÃO PÚBLICA ESPECIAL DA CIDADE DO RECIFE, EM POSTES ACIMA DE 12 METROS DE ALTURA</t>
  </si>
  <si>
    <t>CONCORRÊNCIA / nº 006/2020</t>
  </si>
  <si>
    <t>6-048/20</t>
  </si>
  <si>
    <t>SERVIÇOS DE MANUTENÇÃO DO SISTEMA DE MICRODRENAGEM DAS AGUAS PLUVIAIS DO MUNICIPIO DO RECIFE RPA 1</t>
  </si>
  <si>
    <t>CONCORRÊNCIA Licitação: 19/2019</t>
  </si>
  <si>
    <t>TOMADA DE PREÇOS /nº 07/2016</t>
  </si>
  <si>
    <t>EXERCÍCIO: 2021</t>
  </si>
  <si>
    <t>PERÍODO REFERENCIAL: julho a setembro</t>
  </si>
  <si>
    <t>PERÍODO REFERENCIAL: outubro a dezembro</t>
  </si>
  <si>
    <t>NORCONSULT PROJETOS E CONSULTORIA LTDA</t>
  </si>
  <si>
    <t>CONCORRÊNCIA / nº 12/2020</t>
  </si>
  <si>
    <t>CONTRATACAO DOS SERVICOS DE LIMPEZA E MANUTENCAO DO SISTEMA DE MICRODRENAGEM DE AGUAS PLUVIAIS DO MUNICIPIO DO RECIFE RPA 02 E 03</t>
  </si>
  <si>
    <t>F R F  ENGENHARIA LTDA</t>
  </si>
  <si>
    <t>6-002/21</t>
  </si>
  <si>
    <t>CONCORRÊNCIA / nº 14/2020</t>
  </si>
  <si>
    <t>CONTRATACAO DE EMPRESA DE ENGENHARIA PARA REALIZACAO DE MANUTENCAO PREVENTIVA E CORRETIVA DO SISTEMA DE ILUMINACAO PUBLICA CONVENCIONAL DAS RPAS DO MUNICIPIO DO RECIFE. EM POSTES COM ATE 12 METROS DE ALTURA LOTE I. RPA 1 E 6</t>
  </si>
  <si>
    <t>6-004/21</t>
  </si>
  <si>
    <t>CONTRATACAO DE EMPRESA DE ENGENHARIA PARA REALIZACAO DE MANUTENCAO PREVENTIVA E CORRETIVA DO SISTEMA DE ILUMINACAO PUBLICA CONVENCIONAL DAS RPAS DO MUNICIPIO DO RECIFE. EM POSTES COM ATE 12 METROS DE ALTURA LOTE II RPA 2 E 3</t>
  </si>
  <si>
    <t>6-005/21</t>
  </si>
  <si>
    <t>CONTRATAÇÃO DE EMPRESA DE ENGENHARIA PARA REALIZAÇÃO DE MANUTENÇÃO PREVENTIVA E CORRETIVA DO SISTEMA DE ILUMINAÇÃO PUBLICA CONVENCIONAL DAS RPAS DO RECIFE LOTE III RPA  4 E 5</t>
  </si>
  <si>
    <t>6-006/21</t>
  </si>
  <si>
    <t>CONCORRÊNCIA / nº 17/2020</t>
  </si>
  <si>
    <t>CONTRATACAO DOS SERVICOS DE MANUTENCAO E RECUPERACAO DA PAVIMENTACAO NAS VIAS EM PARALELEPIPEDOS CONSTITUINTES DO SISTEMA VIARIO DA CIDADE DO RECIFE. LOTE I - RPA 1</t>
  </si>
  <si>
    <t>6-007/21</t>
  </si>
  <si>
    <t>CONTRATACAO DOS SERVICOS DE MANUTENCAO E RECUPERACAO DA PAVIMENTACAO NAS VIAS EM PARALELEPIPEDOS CONSTITUINTES DO SISTEMA VIARIO DA CIDADE DO RECIFE. LOTES II - RPA 2 E 3</t>
  </si>
  <si>
    <t>6-008/21</t>
  </si>
  <si>
    <t>CONTRATACAO DOS SERVICOS DE MANUTENCAO E RECUPERACAO DA PAVIMENTACAO NAS VIAS EM PARALELEPIPEDOS CONSTITUINTES DO SISTEMA VIARIO DA CIDADE DO RECIFE. LOTES III - RPA 4 E 5</t>
  </si>
  <si>
    <t>6-009/21</t>
  </si>
  <si>
    <t>CONTRATACAO DOS SERVICOS DE MANUTENCAO E RECUPERACAO DA PAVIMENTACAO NAS VIAS EM PARALELEPIPEDOS CONSTITUINTES DO SISTEMA VIARIO DA CIDADE DO RECIFE. LOTES IV. - RPA 06</t>
  </si>
  <si>
    <t>6-010/21</t>
  </si>
  <si>
    <t>encerrado</t>
  </si>
  <si>
    <t>02/2018 , 16/2019 e 01/2020</t>
  </si>
  <si>
    <t>PERÍODO REFERENCIAL: ABRIL A JUNHO</t>
  </si>
  <si>
    <t>Pregão Eletrônico/ nº 017/2020</t>
  </si>
  <si>
    <t>SERVIÇO DE MANUTENÇÃO E/OU INSTALAÇÃO DE BRINQUEDOS DE MADEIRA, INSTALADOS EM PARQUES E PRAÇAS DA CIDADE DO RECIFE</t>
  </si>
  <si>
    <t>ROBERTO &amp; JAIR COMERCIO E SERVICOS LTDA - EPP</t>
  </si>
  <si>
    <t>6-003/21</t>
  </si>
  <si>
    <t>concorrência /nº 17/2020</t>
  </si>
  <si>
    <t>INEX 9/2021</t>
  </si>
  <si>
    <t>CONTRATACAO DOS SERVICOS DE MANUTENCAO PREVENTIVA DO SISTEMA DE MACRODRENAGEM PELO PROCESSO DE BARRAGEM MOVEL EM DIVERSOS CANAIS DA CIDADE DO RECIFE</t>
  </si>
  <si>
    <t>03.366.083/0001-25</t>
  </si>
  <si>
    <t>HIDROMAX CONSTRUÇOES LTDA</t>
  </si>
  <si>
    <t>6-012/21</t>
  </si>
  <si>
    <t>concorrência /nº 001/2021</t>
  </si>
  <si>
    <t>CONTRATACAO DE EMPRESA DE ENGENHARIA ESPECIALIZADA. PARA A OPERACAO. AUTOMACAO E MANUTENCAO ELETRICA E MECANICA DAS ESTACOES DE BOMBEAMENTO E COMPORTAS DA CIDADE DO RECIFE</t>
  </si>
  <si>
    <t>6-014/21</t>
  </si>
  <si>
    <t>SERVIÇOS DE RECUPERAÇÃO DE VIAS URBANAS PAVIMENTAS EM CONCRETO DE CIMENTO PORTLAND EM TRECHOS DE VIAS NAS RPA'S 1 A 6</t>
  </si>
  <si>
    <t>6-015/21</t>
  </si>
  <si>
    <t>00.338.885/0001-33</t>
  </si>
  <si>
    <t>NOVATEC CONSTRUCOES E EMPREENDIMENTOS LTDA</t>
  </si>
  <si>
    <t>6-018/21</t>
  </si>
  <si>
    <t>RECUPERAÇÃO DE PASSEIOS COM IMPLANTAÇÃO DE ACESSIBILIDADE EM VARIAS VIAS E LOCAIS DO RECIFE</t>
  </si>
  <si>
    <t>03.608.944/0001-34</t>
  </si>
  <si>
    <t>JEPAC CONSTRUCOES LTDA</t>
  </si>
  <si>
    <t>6-021/21</t>
  </si>
  <si>
    <t>CONCORRÊNCIA Licitação: 2/2021</t>
  </si>
  <si>
    <t>RECUPERACAO DE ESCADARIAS. MUROS E CORRIMOES LOCALIZADAS NAS DIVERSAS NAS DIVERSAS REGIAO POLITICA ADMINISTRATIVA RPAS DA CIDADE DO RECIFE. DIVIDIDAS EM EM LOTES. LOTE I RPA 2; LOTE II RPA 3 E LOTE III RPA 4.5.6</t>
  </si>
  <si>
    <t>6-022/21</t>
  </si>
  <si>
    <t>6-023/21</t>
  </si>
  <si>
    <t>6-024/21</t>
  </si>
  <si>
    <t>CONCORRÊNCIA Licitação: 18/2020</t>
  </si>
  <si>
    <t>CONTRATACAO DE SERVICOS DE MANUTENCAO PREVENTIVA IMPLANTACAO. REQUALIFICACAO E OU RECAPEAMENTO DE VIAS EM CONCRETO BETUMINOSO USINADO A QUENTE CBUQ DO SISTEMA VIARIO DA CIDADE DO RECIFE LOTE I RPA 1</t>
  </si>
  <si>
    <t>6-025/21</t>
  </si>
  <si>
    <t>CONTRATACAO DE SERVICOS DE MANUTENCAO PREVENTIVA IMPLANTACAO. REQUALIFICACAO E OU RECAPEAMENTO DE VIAS EM CONCRETO BETUMINOSO USINADO A QUENTE CBUQ DO SISTEMA VIARIO DA CIDADE DO RECIFE LOTE II RPA 2 E 3</t>
  </si>
  <si>
    <t>6-026/21</t>
  </si>
  <si>
    <t>CONTRATACAO DE SERVICOS DE MANUTENCAO PREVENTIVA IMPLANTACAO. REQUALIFICACAO E OU RECAPEAMENTO DE VIAS EM CONCRETO BETUMINOSO USINADO A QUENTE CBUQ DO SISTEMA VIARIO DA CIDADE DO RECIFE LOTES III RPA 4 E 5</t>
  </si>
  <si>
    <t>6-027/21</t>
  </si>
  <si>
    <t>6-028/21</t>
  </si>
  <si>
    <t>6-029/21</t>
  </si>
  <si>
    <t>CONTRATACAO DE SERVICOS DE MANUTENCAO PREVENTIVA IMPLANTACAO. REQUALIFICACAO E OU RECAPEAMENTO DE VIAS EM CONCRETO BETUMINOSO USINADO A QUENTE CBUQ DO SISTEMA VIARIO DA CIDADE DO RECIFE LOTE IV RPA 6</t>
  </si>
  <si>
    <t>CONCORRÊNCIA Licitação: 16/2020</t>
  </si>
  <si>
    <t>EXECUÇÃO DE SERVIÇOS DE REQUALIFICAÇÃO MANUTENÇÃO PREVENTIVA E CORRETIVA DE PRAÇAS, PARQUES E ÁREAS VERDES CANTEIROS DE AVENIDAS E REFÚGIOS DA CIDADE DO RECIFE RPAS 1,2 E 3</t>
  </si>
  <si>
    <t>EXECUÇÃO DE SERVIÇOS DE REQUALIFICAÇÃO MANUTENÇÃO PREVENTIVA E CORRETIVA DE PRAÇAS, PARQUES E ÁREAS VERDES CANTEIROS DE AVENIDAS E REFÚGIOS DA CIDADE DO RECIFE RPAS 4,5 E 6</t>
  </si>
  <si>
    <t>532561/2020</t>
  </si>
  <si>
    <t>concorrência /nº 015/2020</t>
  </si>
  <si>
    <t>concorrência /nº 004/2021</t>
  </si>
  <si>
    <t>CONTRATAÇÃO DE EMPRESA DE DE ENGENHARIA ESPECIALIZADA EM ILUMINAÇÃO PUBLICA. PARA INSTALAÇÃO DE LUMINÁRIAS/PROJETORES COM TECNOLOGIA LED NA CIDADE DO RECIFE/PE COM FORNECIMENTO DE ACESSÓRIOS</t>
  </si>
  <si>
    <t>Tomada de Preço Licitação: 003/2021</t>
  </si>
  <si>
    <t>6-037/21</t>
  </si>
  <si>
    <t>Tomada de Preço Licitação: 004/2021</t>
  </si>
  <si>
    <t>CONTRATACAO DE EMPRESA DE ENGENHARIA PARA PRESTACAO DOS SERVICOS DE MANUTENCAO DO ENROCAMENTO DE PEDRAS DA PROTECAO EXISTENTE NA ORLA DE BOA VIAGEM</t>
  </si>
  <si>
    <t>70.086.111/0001-48</t>
  </si>
  <si>
    <t>COASTAL - CONSTRUÇÕES E SOLUÇÕES TÉCNICAS AMBIENTAIS EIRELI</t>
  </si>
  <si>
    <t>6-039/21</t>
  </si>
  <si>
    <t>6-042/21</t>
  </si>
  <si>
    <t>EXECUÇÃO DE SERVIÇOS DE RECUPERAÇÃO DE PASSARELAS, PONTILHÕES E ELEMENTOS LIMITADORES DE ESPAÇO OU PROTEÇÃO NAS DIVERSAS RPAS DA CIDADE DO RECIFE</t>
  </si>
  <si>
    <t>DISP 004/2021</t>
  </si>
  <si>
    <t>CONTRATACAO DE SERVICOS EM CARATER EMERGENCIAL DE COLETA E LIMPEZA URBANA - LOTE 2</t>
  </si>
  <si>
    <t>6-044/21</t>
  </si>
  <si>
    <t>Convite  Licitação:  001/2021</t>
  </si>
  <si>
    <t>DISP 003/2021</t>
  </si>
  <si>
    <t>CONTRATACAO DE SERVICO. EM CARATER EMERGENCIAL. DE COLETA E LIMPEZA URBANA LOTE 1</t>
  </si>
  <si>
    <t>6-048/21</t>
  </si>
  <si>
    <t>XXXXXXXXXXXXXXX - CPF XXXXXXXXXXXXX</t>
  </si>
  <si>
    <t>Concorrência Licitação: 009/2021</t>
  </si>
  <si>
    <t>1-002/21</t>
  </si>
  <si>
    <t xml:space="preserve">BM reajuste, 37,38,39 = 8.874,40 sem empenho </t>
  </si>
  <si>
    <t>A1MC PROJETOS LTDA</t>
  </si>
  <si>
    <t>18.968.880/0001-50</t>
  </si>
  <si>
    <t>6-045/21</t>
  </si>
  <si>
    <t>Pregão Eletrônico Licitação: 031/2021</t>
  </si>
  <si>
    <t>Pregão Eletrônico Licitação: 032/2021</t>
  </si>
  <si>
    <t>6-056/21</t>
  </si>
  <si>
    <t>08.963.533/0001-80</t>
  </si>
  <si>
    <t>FAR COMERCIO E SERVIÇOS PAISAGISTICOS LTDA</t>
  </si>
  <si>
    <t>6-057/21</t>
  </si>
  <si>
    <t>CONTRATAÇÃO DE EMPRESA ESPECIALIZADA NA PRESTAÇÃO DE SERVIÇOS CONTÍNUOS DE PAISAGISMO E CONSERVAÇÃO PREVENTIVA E CORRETIVA DE PARQUES, PRAÇAS, JARDINS E ÁREAS VERDES PÚBLICOS NA CIDADE DO RECIFE - LOTE 02</t>
  </si>
  <si>
    <t>CONTRATAÇÃO DE EMPRESA ESPECIALIZADA NA PRESTAÇÃO DE SERVIÇOS CONTÍNUOS DE PAISAGISMO E CONSERVAÇÃO PREVENTIVA E CORRETIVA DE PARQUES, PRAÇAS, JARDINS E ÁREAS VERDES PÚBLICAS NA CIDADE DO RECIFE - LOTE 01</t>
  </si>
  <si>
    <t>CONTRATAÇÃO DE EMPRESA DE ENGENHARIA NA ÁREA DE GEOTÉCNIA PARA ENSAIO DE PENETRAÇÃO DE UM CONE ESTÁTICO DE AÇO COM MEDIDAS DE PRESSÕES NEUTRAS CPTU CONFORME PROCEDIMENTOS DA NORMA ASTM D 5778 95</t>
  </si>
  <si>
    <t>BM 134, 136 e 137</t>
  </si>
  <si>
    <t>bm 29 - 97.853,63</t>
  </si>
  <si>
    <t>CONTRATAÇÃO DE SERVIÇOS DE RECUPERAÇÃO DE ESTRUTURA EM MADEIRA DO SEGUNDO JARDIM EM BOA VIAGEM</t>
  </si>
  <si>
    <t xml:space="preserve">AGC CONSTRUTORA E EMPREENDIMENTOS LTDA      </t>
  </si>
  <si>
    <t>535346/2020 e 599406/2021</t>
  </si>
  <si>
    <t>535346/2020  e 599406/2021 e 01/2020</t>
  </si>
  <si>
    <t>VALOR REAJUSTE</t>
  </si>
  <si>
    <t>EXERCÍCIO: 2022</t>
  </si>
  <si>
    <t>CONCORRÊNCIA / nº 014/2021</t>
  </si>
  <si>
    <t>CONTRATAÇÃO DE EMPRESA DE ENGENHARIA, ESPECIALIZADA EM ILUMINAÇÃO PÚBLICA, PARA FORNECIMENTO E INSTALAÇÃO DE LUMINÁRIAS COM TECNOLOGIA LED RGB E REDE ELÉTRICA, PARA ILUMINAÇÃO CÊNICA DO PARQUE DONA LINDU, BOA VIAGEM</t>
  </si>
  <si>
    <t>6-001/22</t>
  </si>
  <si>
    <t>CONCORRÊNCIA / nº 012/2021</t>
  </si>
  <si>
    <t>CONTRATAÇÃO DE EMPRESA DE ENGENHARIA, ESPECIALIZADA EM ILUMINAÇÃO PÚBLICA, PARA SERVIÇOS DE APOIO TÉCNICO PARA CIDADE DO RECIFE.</t>
  </si>
  <si>
    <t>6-002/22</t>
  </si>
  <si>
    <t>CONCORRÊNCIA / nº 008/2021</t>
  </si>
  <si>
    <t>CONTRATAÇÃO DE EMPRESA DE ENGENHARIA, ESPECIALIZADA EM ILUMINAÇÃO PÚBLICA, PARA EXECUÇÃO DA MANUTENÇÃO, PREVENTIVA E CORRETIVA, DO SISTEMA DE ILUMINAÇÃO CÊNICA DA CIDADE DO RECIFE</t>
  </si>
  <si>
    <t>6-003/22</t>
  </si>
  <si>
    <t>6-004/22</t>
  </si>
  <si>
    <t>Pregão Eletrônico Licitação: 037/2021</t>
  </si>
  <si>
    <t>SERVIÇOS DE INFRAESTURURA PARA IMPLANTAÇÃO DO MEMORIAL JUDAICO EM HONRA AO POVO JUDEU, NA PRAÇA TIRADENTES BAIRRO DO RECIFE, RECIFE - PE</t>
  </si>
  <si>
    <t>22.257.930/0001-68</t>
  </si>
  <si>
    <t>G O DOS SANTOS CONSTRUCOES EIRELI</t>
  </si>
  <si>
    <t>cadastrado</t>
  </si>
  <si>
    <t>Tomada de Preço Licitação: 009/2021</t>
  </si>
  <si>
    <t>SERVIÇOS DE REFORMA DE DIVERSOS PRÉDIOS PÚBLICOS MANTIDOS PELA EMLURB: LOTE 01 DLU E GOFIS DA RPA 01 E RPA 06, LOTE 02 DIVERSOS BANHEIROS PÚBLICOS, SEDE DA EMLURB E LABORATÓRIO. LOCALIZADOS EM DIVERSOS BAIRROS DA CIDADE DO RECIFE PE</t>
  </si>
  <si>
    <t>6-005/22</t>
  </si>
  <si>
    <t>30.700.985/0001-29</t>
  </si>
  <si>
    <t>CONSTRUTORA MANASSU LTDA</t>
  </si>
  <si>
    <t>6-006/22</t>
  </si>
  <si>
    <t>CREDENCIAMENTO Licitação: 001/2021</t>
  </si>
  <si>
    <t>CREDENCIAMENTO DE EMPRESA ESPECIALIZADA EM ENGENHARIA SANITÁRIA PARA RECOLHIMENTO, TRATAMENTO E DISPOSIÇÃO FINAL AMBIENTALMENTE CORRETO DE LÍQUIDOS ORIUNDOS DO ATERRO DESATIVADO DA MURIBECA SOB RESPONSABILIDADE DA EMLURB</t>
  </si>
  <si>
    <t>ECOPESA AMBIENTAL S.A.</t>
  </si>
  <si>
    <t>6-007/22</t>
  </si>
  <si>
    <t>Tomada de Preço Licitação: 011/2021</t>
  </si>
  <si>
    <t>CONTRATAÇÃO DE EMPRESA DE ENGENHARIA, ESPECIALIZADA EM ILUMINAÇÃO PÚBLICA, PARA FORNECIMENTO DE LUMINÁRIAS COM TECNOLOGIA LED RGB E REDE ELÉTRICA, PARA ILUMINAÇÃO CÊNICA DA PASSARELA JOANA BEZERRA.</t>
  </si>
  <si>
    <t>6-008/22</t>
  </si>
  <si>
    <t>CONCORRÊNCIA / nº 017/2021</t>
  </si>
  <si>
    <t>IMPLANTAÇÃO DE TRECHO DE DRENAGEM DA RUA VINTE E UM DE ABRIL COM A RUA LÍDIA GUIMARÃES, EM AFOGADOS RECIE-PE</t>
  </si>
  <si>
    <t>10.893.105/0001-70</t>
  </si>
  <si>
    <t>AGILIS CONSTRUTORA LTDA</t>
  </si>
  <si>
    <t>6-009/22</t>
  </si>
  <si>
    <t>CONCORRÊNCIA / nº 018/2021</t>
  </si>
  <si>
    <t>SERVIÇOS DE REQUALIFICAÇÃO DE PAVIMENTAÇÃO, DRENAGEM, ACESSIBILIDADE E SINALIZAÇÃO DA RUA CARLOS PEREIRA FALÇÃO TRECHO ENTRE AS RUAS VISCONDE DE JEQUITINHONHA E TENENTE DOMINGOS DE BRITO LOCALIZADA NO BAIRRO DE BOA VIAGEM NA CIDADE DO RECIFE - PE</t>
  </si>
  <si>
    <t>6-012/22</t>
  </si>
  <si>
    <t>Pregão Eletrônico Licitação: 002/2022</t>
  </si>
  <si>
    <t>CONTRATAÇÃO DE PESSOA S JURÍDICA S ESPECIALIZADA EM ENGENHARIA SANITÁRIA PARA RECEBIMENTO, TRATAMENTO E DISPOSIÇÃO FINAL DE RESÍDUOS DE CONSTRUÇÃO RCC CLASSE A INERTE COLETADOS PELA EMLURB NO MUNICÍPIO DO RECIFE</t>
  </si>
  <si>
    <t>10.877.732/0001-18</t>
  </si>
  <si>
    <t>6-013/22</t>
  </si>
  <si>
    <t>CONTRATAÇÃO DE EMPRESA ESPCIALIZADA NO RAMO DE ENGENHARIA PARA EXECUÇÃO DOS SERVIÇOS DE RECUPERAÇÃO DE REDE DE DRENAGEM E PAVIMENTAÇÃO DA RUA ACAJUTIBA, NO TRECHO ENTRE AS RUAS GÁLIA E PINTO FERREIRA, LOCALIZADAS NO BAIRRO DE BONGI, RECIFE - PE</t>
  </si>
  <si>
    <t>6-014/22</t>
  </si>
  <si>
    <t>6-015/22</t>
  </si>
  <si>
    <t>6-016/22</t>
  </si>
  <si>
    <t>6-017/22</t>
  </si>
  <si>
    <t>CONCORRÊNCIA / nº 001/2021</t>
  </si>
  <si>
    <t>CONTRATAÇÃO DE EMPRESA SANITÁRIA ESPECIALIZADA PARA A EXECUÇÃO DOS SERVIÇOS DE COLETA E LIMPEZA URBANA NO MUNICÍPIO DO RECIFE. LOTE 1- A</t>
  </si>
  <si>
    <t>CONTRATAÇÃO DE EMPRESA SANITÁRIA ESPECIALIZADA PARA A EXECUÇÃO DOS SERVIÇOS DE COLETA E LIMPEZA URBANA NO MUNICÍPIO DO RECIFE. LOTE 1-B</t>
  </si>
  <si>
    <t>COELHO DE ANDRADE ENGENHARIA LTDA</t>
  </si>
  <si>
    <t>CONTRATAÇÃO DE EMPRESA SANITÁRIA ESPECIALIZADA PARA A EXECUÇÃO DOS SERVIÇOS DE COLETA E LIMPEZA URBANA NO MUNICÍPIO DO RECIFE. LOTE 2- A</t>
  </si>
  <si>
    <t>CONTRATAÇÃO DE EMPRESA SANITÁRIA ESPECIALIZADA PARA A EXECUÇÃO DOS SERVIÇOS DE COLETA E LIMPEZA URBANA NO MUNICÍPIO DO RECIFE. LOTE 2-B</t>
  </si>
  <si>
    <t>6-019/22</t>
  </si>
  <si>
    <t>CONCORRÊNCIA / nº 021/2021</t>
  </si>
  <si>
    <t>CONTRATAÇÃO DE EMPRESA DE ENGENHARIA, ESPECIALIZADA EM ILUMINAÇÃO PÚBLICA, PARA FORNECIMENTO E INSTALAÇÃO DE LUMINÁRIAS RGB COM TECNOLOGIA LED E REDE ELÉTRICA, PARA ILUMINAÇÃO CÊNICA, DO TEATRO SANTA IZABEL BAIRRO SANTO ANTÔNIO</t>
  </si>
  <si>
    <t>6-033/21</t>
  </si>
  <si>
    <t>PREGÃO ELETRÔNICO Licitação: 21/2021</t>
  </si>
  <si>
    <t>SERVIÇOS DE REFORMA NAS DEPENDÊNCIAS DO CENTRO DE COMPOSTAGEM, LOCALIZADO NO CURADO - PE</t>
  </si>
  <si>
    <t>CONCORRÊNCIA Licitação: 006/2021</t>
  </si>
  <si>
    <t>6-035/21</t>
  </si>
  <si>
    <t>02.724.778/0001-79</t>
  </si>
  <si>
    <t>UNITERRA - UNIAO TERRAPLENAGEM E CONSTRUCOES LTDA</t>
  </si>
  <si>
    <t>6-041/21</t>
  </si>
  <si>
    <t>CONTRATAÇÃO DE EMPRESA DE ENGENHARIA, PARA EXECUÇÃO DOS SERVIÇOS DE IMPLANTAÇÃO DA REDE DE DRENAGEM, PAVIMENTAÇÃO, ACESSIBILIDADE E SINALIZAÇÃO DAS RUAS DESEMBARGADOR VIRGÍLIO DE SA PEREIRA E MATHUZALEM WANDERLEY, LOCALIZADAS NO BAIRRO DO CORDEIRO. LOTE 01</t>
  </si>
  <si>
    <t>CONTRATAÇÃO DE EMPRESA DE ENGENHARIA, PARA EXECUÇÃO DOS SERVIÇOS DE IMPLANTAÇÃO DA REDE DE DRENAGEM, PAVIMENTAÇÃO, ACESSIBILIDADE E SINALIZAÇÃO DAS RUAS DESEMBARGADOR VIRGÍLIO DE SA PEREIRA E MATHUZALEM WANDERLEY, LOCALIZADAS NO BAIRRO DO CORDEIRO. LOTE 02</t>
  </si>
  <si>
    <t>6-058/21</t>
  </si>
  <si>
    <t>CONCORRÊNCIA Licitação: 15/2021</t>
  </si>
  <si>
    <t>SERVIÇOS DE ENGENHARIA CONSULTIVA PARA APOIO TÉCNICO E GERENCIAL AO PROCESSO DE MONITORAMENTO DAS AÇÕES DE LIMPEZA URBANA E ATIVIDADES DE LOGÍSTICA DO TRANSPORTE DE RESÍDUOS DA CONSTRUÇÃO CIVIL DA CIDADE DO RECIFE, MEDIANTE SUPORTE A IMPLANTAÇÃO E OPERAÇÃO DE UMA CENTRAL DE CONTROLE OPERACIONAL</t>
  </si>
  <si>
    <t>12.285.441/0001-66</t>
  </si>
  <si>
    <t>TPF ENGENHARIA LTDA</t>
  </si>
  <si>
    <t>6-060/21</t>
  </si>
  <si>
    <t>TOMADA DE PREÇOS Licitação: 007/2021</t>
  </si>
  <si>
    <t>CONTRATAÇÃO DE EMPRESA ESPECIALIZADA NO RAMO DE ENGENHARIA PARA EXECUÇÃO DOS SERVIÇOS DE IMPLANTAÇÃO DE PAVIMENTAÇÃO, DRENAGEM, ACESSIBILIDADE E SINALIZAÇÃO DAS RUAS BENJAMIN FONSECA - LOTE 1.  JOSÉ MOLITERNO - LOTE 2, SITUADAS NA CIDADE DO RECIFE</t>
  </si>
  <si>
    <t>CONSTRUTORA MARDIFI - EPP</t>
  </si>
  <si>
    <t>6-061/21</t>
  </si>
  <si>
    <t>6-065/21</t>
  </si>
  <si>
    <t>TOMADA DE PREÇOS Licitação: 006/2021</t>
  </si>
  <si>
    <t>CONTRATAÇÃO DE EMPRESA DE ENGENHARIA, ESPECIALIZADA EM ILUMINAÇÃO PÚBLICA, PARA INSTALAÇÃO DE LUMINÁRIAS RGB COM TECNOLOGIA LED E REDE ELÉTRICA,  PARA ILUMINAÇÃO CÊNICA DA PRAÇA SOLANGE PINTO</t>
  </si>
  <si>
    <t>TOMADA DE PREÇOS Licitação: 005/2021</t>
  </si>
  <si>
    <t>CONTRATAÇÃO DE EMPRESA DE ENGENHARIA, ESPECIALIZADA EM ILUMINAÇÃO PÚBLICA, PARA INSTALAÇÃO DE LUMINÁRIAS RGB COM TECNOLOGIA LED E REDE ELÉTRICA, PARA ILUMINAÇÃO CÊNICA DA PONTE DA BOA VISTA, NO BAIRRO DA BOA VISTA</t>
  </si>
  <si>
    <t>32.185.141/0001-12</t>
  </si>
  <si>
    <t>CASTRO &amp; ROCHA LTDA</t>
  </si>
  <si>
    <t>6-066/21</t>
  </si>
  <si>
    <t>PREGÃO ELETRÔNICO Licitação: 26/2021</t>
  </si>
  <si>
    <t>CONTRATAÇÃO DE EMPRESA ESPECIALIZADA EM ENGENHARIA SANITÁRIA PARA A EXECUÇÃO DOS SERVIÇOS DE COLETA E LIMPEZA URBANA NO MUNICÍPIO DO RECIFE</t>
  </si>
  <si>
    <t>6-053/21</t>
  </si>
  <si>
    <t>Emenda Parlamentar Federal</t>
  </si>
  <si>
    <t xml:space="preserve"> 892570/2019</t>
  </si>
  <si>
    <t>884436/2019</t>
  </si>
  <si>
    <t>899753/2020</t>
  </si>
  <si>
    <t>Emenda Parlamentar Federal - TRANSFERÊNCIA  ESPECIAL - FELIPE CARRERA</t>
  </si>
  <si>
    <t>6-059/21</t>
  </si>
  <si>
    <t>CONCORRÊNCIA Licitação: 010/2021</t>
  </si>
  <si>
    <t>CONTRATACAÇÃO DE EMPRESA ESPECIALIZADA NO RAMO DE ENGENHARIA PARA EXECUÇÃO DOS SERVIÇOS DE RECUPERAÇÃO DA REDE DE DRENAGEM NO ENTORNO DA PRAÇA MIGUEL DE CERVANTES, ILHA DO LEITE - RECIFE PE</t>
  </si>
  <si>
    <t>07.654.042/0001-95</t>
  </si>
  <si>
    <t>ALTA SERVIÇOS DE ENGENHARIA LTDA - EPP</t>
  </si>
  <si>
    <t>CONCORRÊNCIA Licitação: 016/2021</t>
  </si>
  <si>
    <t>SERVIÇOS DE RECUPERAÇÃO ESTRUTURAL DA PONTE RODOVIÁRIA, DENOMINADA ANTIGA PONTE GIRATÓRIA, QUE LIGA O BAIRRO DE SÃO JOSÉ AO BAIRRO DO RECIFE NA CIDADE DO RECIFE - PE</t>
  </si>
  <si>
    <t>00.507.949/0001-82</t>
  </si>
  <si>
    <t>JATOBETON ENGENHARIA LTDA</t>
  </si>
  <si>
    <t>6-063/21</t>
  </si>
  <si>
    <t>CONCORRÊNCIA Licitação: 011/2021</t>
  </si>
  <si>
    <t>CONTRATAÇÃO DE SERVIÇOS DE APOIO TÉCNICO AO MONITORAMENTO DAS AÇÕES DE MANUTENÇÃO DO SISTEMA VIÁRIO DA CIDADE DO RECIFE</t>
  </si>
  <si>
    <t>41.075.755/0001-32</t>
  </si>
  <si>
    <t>6-055/21</t>
  </si>
</sst>
</file>

<file path=xl/styles.xml><?xml version="1.0" encoding="utf-8"?>
<styleSheet xmlns="http://schemas.openxmlformats.org/spreadsheetml/2006/main">
  <numFmts count="5">
    <numFmt numFmtId="43" formatCode="_-* #,##0.00_-;\-* #,##0.00_-;_-* &quot;-&quot;??_-;_-@_-"/>
    <numFmt numFmtId="164" formatCode="#,##0.00\ ;\-#,##0.00\ ;&quot; -&quot;#\ ;@\ "/>
    <numFmt numFmtId="165" formatCode="#,##0.00_ ;\-#,##0.00\ "/>
    <numFmt numFmtId="166" formatCode="_-* #,##0.0_-;\-* #,##0.0_-;_-* &quot;-&quot;??_-;_-@_-"/>
    <numFmt numFmtId="167" formatCode="dd/mm/yy;@"/>
  </numFmts>
  <fonts count="19">
    <font>
      <sz val="11"/>
      <color indexed="8"/>
      <name val="Calibri"/>
      <family val="2"/>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sz val="9"/>
      <color indexed="81"/>
      <name val="Tahoma"/>
      <family val="2"/>
    </font>
    <font>
      <b/>
      <sz val="9"/>
      <color indexed="81"/>
      <name val="Tahoma"/>
      <family val="2"/>
    </font>
    <font>
      <sz val="10"/>
      <name val="Arial"/>
      <family val="2"/>
    </font>
    <font>
      <b/>
      <sz val="8"/>
      <name val="Calibri"/>
      <family val="2"/>
    </font>
    <font>
      <sz val="11"/>
      <color theme="1"/>
      <name val="Calibri"/>
      <family val="2"/>
      <scheme val="minor"/>
    </font>
    <font>
      <sz val="8"/>
      <name val="Calibri"/>
      <family val="2"/>
      <scheme val="minor"/>
    </font>
    <font>
      <b/>
      <sz val="8"/>
      <name val="Calibri"/>
      <family val="2"/>
      <scheme val="minor"/>
    </font>
    <font>
      <sz val="8"/>
      <color indexed="8"/>
      <name val="Calibri"/>
      <family val="2"/>
      <scheme val="minor"/>
    </font>
    <font>
      <b/>
      <sz val="8"/>
      <color indexed="8"/>
      <name val="Calibri"/>
      <family val="2"/>
      <scheme val="minor"/>
    </font>
    <font>
      <sz val="11"/>
      <name val="Calibri"/>
      <family val="2"/>
    </font>
    <font>
      <b/>
      <sz val="9"/>
      <name val="Calibri"/>
      <family val="2"/>
      <scheme val="minor"/>
    </font>
    <font>
      <sz val="8"/>
      <color rgb="FF00B050"/>
      <name val="Calibri"/>
      <family val="2"/>
      <scheme val="minor"/>
    </font>
    <font>
      <sz val="8"/>
      <color rgb="FF00B050"/>
      <name val="Calibri"/>
      <family val="2"/>
    </font>
    <font>
      <sz val="8"/>
      <name val="Calibri"/>
      <family val="2"/>
    </font>
  </fonts>
  <fills count="6">
    <fill>
      <patternFill patternType="none"/>
    </fill>
    <fill>
      <patternFill patternType="gray125"/>
    </fill>
    <fill>
      <patternFill patternType="solid">
        <fgColor indexed="13"/>
        <bgColor indexed="34"/>
      </patternFill>
    </fill>
    <fill>
      <patternFill patternType="solid">
        <fgColor indexed="9"/>
        <bgColor indexed="26"/>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74">
    <xf numFmtId="0" fontId="0"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ill="0" applyBorder="0" applyAlignment="0" applyProtection="0"/>
    <xf numFmtId="0" fontId="1" fillId="0" borderId="0"/>
    <xf numFmtId="0" fontId="1" fillId="0" borderId="0"/>
    <xf numFmtId="164" fontId="3" fillId="0" borderId="0" applyFill="0" applyBorder="0" applyAlignment="0" applyProtection="0"/>
  </cellStyleXfs>
  <cellXfs count="227">
    <xf numFmtId="0" fontId="0" fillId="0" borderId="0" xfId="0"/>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10" fillId="0" borderId="0" xfId="0" applyFont="1" applyAlignment="1">
      <alignment vertical="center" wrapText="1"/>
    </xf>
    <xf numFmtId="164" fontId="10" fillId="0" borderId="0" xfId="52" applyFont="1" applyAlignment="1">
      <alignment vertical="center" wrapText="1"/>
    </xf>
    <xf numFmtId="0" fontId="10" fillId="0" borderId="0" xfId="0" applyFont="1" applyFill="1" applyAlignment="1">
      <alignment horizontal="center" vertical="center" wrapText="1"/>
    </xf>
    <xf numFmtId="164" fontId="12" fillId="0" borderId="0" xfId="52" applyFont="1" applyFill="1" applyAlignment="1">
      <alignment vertical="center" wrapText="1"/>
    </xf>
    <xf numFmtId="0" fontId="10" fillId="0" borderId="0" xfId="0" applyFont="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164" fontId="10" fillId="0" borderId="1" xfId="52" applyFont="1" applyBorder="1" applyAlignment="1">
      <alignment vertical="center" wrapText="1"/>
    </xf>
    <xf numFmtId="0" fontId="10" fillId="0" borderId="1" xfId="0" applyFont="1" applyFill="1" applyBorder="1" applyAlignment="1">
      <alignment horizontal="center" vertical="center" wrapText="1"/>
    </xf>
    <xf numFmtId="164" fontId="12" fillId="0" borderId="1" xfId="52"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Alignment="1">
      <alignment vertical="center" wrapText="1"/>
    </xf>
    <xf numFmtId="0" fontId="10" fillId="2" borderId="0" xfId="0" applyFont="1" applyFill="1" applyAlignment="1">
      <alignment vertical="center" wrapText="1"/>
    </xf>
    <xf numFmtId="0" fontId="10" fillId="0" borderId="0" xfId="0" applyFont="1" applyAlignment="1">
      <alignment horizontal="left" vertical="center" wrapText="1"/>
    </xf>
    <xf numFmtId="167" fontId="10" fillId="0" borderId="0" xfId="0" applyNumberFormat="1" applyFont="1" applyAlignment="1">
      <alignment horizontal="center" vertical="center" wrapText="1"/>
    </xf>
    <xf numFmtId="164" fontId="10" fillId="0" borderId="0" xfId="52" applyFont="1" applyFill="1" applyAlignment="1">
      <alignment horizontal="center" vertical="center" wrapText="1"/>
    </xf>
    <xf numFmtId="164" fontId="10" fillId="0" borderId="0" xfId="52" applyFont="1" applyFill="1" applyAlignment="1">
      <alignment vertical="center" wrapText="1"/>
    </xf>
    <xf numFmtId="0" fontId="10" fillId="3" borderId="0" xfId="0" applyFont="1" applyFill="1" applyAlignment="1">
      <alignment vertical="center" wrapText="1"/>
    </xf>
    <xf numFmtId="164" fontId="10" fillId="3" borderId="0" xfId="52" applyFont="1" applyFill="1" applyAlignment="1">
      <alignment vertical="center" wrapText="1"/>
    </xf>
    <xf numFmtId="4" fontId="10" fillId="0" borderId="0" xfId="52" applyNumberFormat="1" applyFont="1" applyFill="1" applyAlignment="1">
      <alignment horizontal="right" vertical="center" wrapText="1"/>
    </xf>
    <xf numFmtId="4" fontId="10" fillId="0" borderId="0" xfId="52" applyNumberFormat="1" applyFont="1" applyAlignment="1">
      <alignment vertical="center" wrapText="1"/>
    </xf>
    <xf numFmtId="0" fontId="11" fillId="0" borderId="0" xfId="0" applyFont="1" applyFill="1" applyAlignment="1">
      <alignment vertical="center" wrapText="1"/>
    </xf>
    <xf numFmtId="164" fontId="11" fillId="0" borderId="0" xfId="52" applyFont="1" applyFill="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4" fontId="10" fillId="0" borderId="0" xfId="0" applyNumberFormat="1" applyFont="1" applyFill="1" applyAlignment="1">
      <alignment horizontal="center" vertical="center" wrapText="1"/>
    </xf>
    <xf numFmtId="14" fontId="10" fillId="0" borderId="1" xfId="0" applyNumberFormat="1" applyFont="1" applyFill="1" applyBorder="1" applyAlignment="1">
      <alignment horizontal="center" vertical="center" wrapText="1"/>
    </xf>
    <xf numFmtId="4" fontId="12" fillId="0" borderId="0" xfId="52" applyNumberFormat="1" applyFont="1" applyFill="1" applyAlignment="1">
      <alignment vertical="center" wrapText="1"/>
    </xf>
    <xf numFmtId="164" fontId="10" fillId="0" borderId="0" xfId="0" applyNumberFormat="1" applyFont="1" applyAlignment="1">
      <alignment vertical="center" wrapText="1"/>
    </xf>
    <xf numFmtId="164" fontId="11" fillId="0" borderId="0" xfId="52"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164" fontId="11" fillId="0" borderId="0" xfId="52" applyFont="1" applyAlignment="1">
      <alignment horizontal="center" vertical="center" wrapText="1"/>
    </xf>
    <xf numFmtId="165" fontId="10" fillId="0" borderId="0" xfId="0" applyNumberFormat="1" applyFont="1" applyFill="1" applyAlignment="1">
      <alignment vertical="center" wrapText="1"/>
    </xf>
    <xf numFmtId="0" fontId="10" fillId="0" borderId="0" xfId="0" applyFont="1" applyFill="1" applyAlignment="1">
      <alignment horizontal="left" vertical="center" wrapText="1"/>
    </xf>
    <xf numFmtId="14" fontId="11" fillId="0" borderId="1" xfId="52" applyNumberFormat="1" applyFont="1" applyFill="1" applyBorder="1" applyAlignment="1">
      <alignment horizontal="center" vertical="center" wrapText="1"/>
    </xf>
    <xf numFmtId="164" fontId="10" fillId="0" borderId="0" xfId="0" applyNumberFormat="1" applyFont="1" applyFill="1" applyAlignment="1">
      <alignment vertical="center" wrapText="1"/>
    </xf>
    <xf numFmtId="164" fontId="14" fillId="0" borderId="0" xfId="52" applyFont="1" applyFill="1" applyAlignment="1">
      <alignment vertical="center" wrapText="1"/>
    </xf>
    <xf numFmtId="164" fontId="15" fillId="0" borderId="0" xfId="52" applyFont="1" applyFill="1" applyAlignment="1">
      <alignment vertical="center" wrapText="1"/>
    </xf>
    <xf numFmtId="0" fontId="15" fillId="0" borderId="0" xfId="0" applyFont="1" applyFill="1" applyAlignment="1">
      <alignment vertical="center" wrapText="1"/>
    </xf>
    <xf numFmtId="0" fontId="15" fillId="0" borderId="0" xfId="0" applyFont="1" applyFill="1" applyAlignment="1">
      <alignment horizontal="center" vertical="center" wrapText="1"/>
    </xf>
    <xf numFmtId="164" fontId="11" fillId="0" borderId="0" xfId="52" applyFont="1" applyFill="1" applyBorder="1" applyAlignment="1">
      <alignment horizontal="center" vertical="center" wrapText="1"/>
    </xf>
    <xf numFmtId="49" fontId="11" fillId="0" borderId="1" xfId="0" applyNumberFormat="1" applyFont="1" applyBorder="1" applyAlignment="1">
      <alignment horizontal="left" vertical="center" wrapText="1"/>
    </xf>
    <xf numFmtId="14" fontId="10" fillId="0" borderId="1" xfId="0" applyNumberFormat="1" applyFont="1" applyBorder="1" applyAlignment="1">
      <alignment vertical="center" wrapText="1"/>
    </xf>
    <xf numFmtId="164" fontId="11" fillId="0" borderId="0" xfId="52" applyFont="1" applyFill="1" applyAlignment="1">
      <alignment horizontal="left" vertical="center" wrapText="1"/>
    </xf>
    <xf numFmtId="4" fontId="13" fillId="0" borderId="1" xfId="52" applyNumberFormat="1" applyFont="1" applyFill="1" applyBorder="1" applyAlignment="1">
      <alignment horizontal="center" vertical="center" wrapText="1"/>
    </xf>
    <xf numFmtId="4" fontId="11" fillId="0" borderId="1" xfId="52" applyNumberFormat="1" applyFont="1" applyFill="1" applyBorder="1" applyAlignment="1">
      <alignment horizontal="center" vertical="center" wrapText="1"/>
    </xf>
    <xf numFmtId="4" fontId="11" fillId="0" borderId="1" xfId="52" applyNumberFormat="1" applyFont="1" applyBorder="1" applyAlignment="1">
      <alignment horizontal="center" vertical="center" wrapText="1"/>
    </xf>
    <xf numFmtId="164" fontId="11" fillId="0" borderId="0" xfId="52"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Fill="1" applyBorder="1" applyAlignment="1">
      <alignment vertical="center" wrapText="1"/>
    </xf>
    <xf numFmtId="164" fontId="11" fillId="0" borderId="0" xfId="52" applyFont="1" applyFill="1" applyBorder="1" applyAlignment="1">
      <alignment horizontal="left" vertical="center" wrapText="1"/>
    </xf>
    <xf numFmtId="0" fontId="11" fillId="0" borderId="0" xfId="0" applyFont="1" applyFill="1" applyBorder="1" applyAlignment="1">
      <alignment horizontal="center" vertical="center" wrapText="1"/>
    </xf>
    <xf numFmtId="164" fontId="8" fillId="0" borderId="0" xfId="52" applyFont="1" applyFill="1" applyBorder="1" applyAlignment="1">
      <alignment vertical="center" wrapText="1"/>
    </xf>
    <xf numFmtId="164" fontId="11" fillId="0" borderId="0" xfId="52" applyFont="1" applyBorder="1" applyAlignment="1">
      <alignment horizontal="left" vertical="center" wrapText="1"/>
    </xf>
    <xf numFmtId="164" fontId="11" fillId="0" borderId="1" xfId="52" applyFont="1" applyBorder="1" applyAlignment="1">
      <alignment horizontal="center" vertical="center" wrapText="1"/>
    </xf>
    <xf numFmtId="167" fontId="11" fillId="4" borderId="1" xfId="0" applyNumberFormat="1" applyFont="1" applyFill="1" applyBorder="1" applyAlignment="1">
      <alignment horizontal="center" vertical="center" wrapText="1"/>
    </xf>
    <xf numFmtId="0" fontId="11" fillId="0" borderId="0" xfId="0" applyFont="1"/>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164" fontId="13" fillId="0" borderId="1" xfId="52" applyFont="1" applyFill="1" applyBorder="1" applyAlignment="1">
      <alignment horizontal="center" vertical="center" wrapText="1"/>
    </xf>
    <xf numFmtId="49" fontId="11" fillId="0" borderId="0" xfId="0" applyNumberFormat="1" applyFont="1" applyFill="1" applyAlignment="1">
      <alignment horizontal="left" vertical="center" wrapText="1"/>
    </xf>
    <xf numFmtId="164" fontId="13" fillId="0" borderId="0" xfId="52" applyFont="1" applyFill="1" applyAlignment="1">
      <alignment vertical="center" wrapText="1"/>
    </xf>
    <xf numFmtId="164" fontId="12" fillId="0" borderId="0" xfId="52" applyFont="1" applyFill="1" applyBorder="1" applyAlignment="1">
      <alignment vertical="center" wrapText="1"/>
    </xf>
    <xf numFmtId="164" fontId="12" fillId="0" borderId="0" xfId="52" applyFont="1" applyAlignment="1">
      <alignment vertical="center" wrapText="1"/>
    </xf>
    <xf numFmtId="0" fontId="16"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0" xfId="0" applyNumberFormat="1" applyFont="1" applyAlignment="1">
      <alignment horizontal="center" vertical="center" wrapText="1"/>
    </xf>
    <xf numFmtId="14" fontId="11" fillId="0" borderId="0" xfId="52" applyNumberFormat="1" applyFont="1" applyBorder="1" applyAlignment="1">
      <alignment vertical="center" wrapText="1"/>
    </xf>
    <xf numFmtId="164" fontId="13" fillId="0" borderId="1" xfId="52" applyFont="1" applyBorder="1" applyAlignment="1">
      <alignment horizontal="center" vertical="center" wrapText="1"/>
    </xf>
    <xf numFmtId="14" fontId="10" fillId="0" borderId="1" xfId="0" applyNumberFormat="1" applyFont="1" applyFill="1" applyBorder="1" applyAlignment="1">
      <alignment vertical="center" wrapText="1"/>
    </xf>
    <xf numFmtId="164" fontId="18" fillId="0" borderId="1" xfId="52" applyFont="1" applyBorder="1" applyAlignment="1">
      <alignment vertical="center" wrapText="1"/>
    </xf>
    <xf numFmtId="49" fontId="11" fillId="0" borderId="1" xfId="0" applyNumberFormat="1" applyFont="1" applyFill="1" applyBorder="1" applyAlignment="1">
      <alignment horizontal="center" vertical="center" wrapText="1"/>
    </xf>
    <xf numFmtId="49" fontId="11" fillId="0" borderId="0" xfId="0" applyNumberFormat="1" applyFont="1" applyFill="1" applyAlignment="1">
      <alignment horizontal="left" vertical="center" wrapText="1"/>
    </xf>
    <xf numFmtId="164" fontId="11" fillId="0" borderId="1" xfId="52" applyFont="1" applyFill="1" applyBorder="1" applyAlignment="1">
      <alignment horizontal="center" vertical="center" wrapText="1"/>
    </xf>
    <xf numFmtId="164" fontId="18" fillId="0" borderId="0" xfId="52" applyFont="1" applyFill="1" applyBorder="1" applyAlignment="1">
      <alignment vertical="center" wrapText="1"/>
    </xf>
    <xf numFmtId="164" fontId="8" fillId="0" borderId="0" xfId="52" applyFont="1" applyFill="1" applyAlignment="1">
      <alignment vertical="center" wrapText="1"/>
    </xf>
    <xf numFmtId="164" fontId="15" fillId="0" borderId="0" xfId="52" applyFont="1" applyFill="1" applyAlignment="1">
      <alignment horizontal="left" vertical="center" wrapText="1"/>
    </xf>
    <xf numFmtId="164" fontId="18" fillId="0" borderId="0" xfId="52" applyFont="1" applyFill="1" applyAlignment="1">
      <alignment horizontal="left" vertical="center" wrapText="1"/>
    </xf>
    <xf numFmtId="164" fontId="18" fillId="0" borderId="1" xfId="52" applyFont="1" applyFill="1" applyBorder="1" applyAlignment="1">
      <alignment horizontal="center" vertical="center" wrapText="1"/>
    </xf>
    <xf numFmtId="164" fontId="8" fillId="0" borderId="1" xfId="52" applyFont="1" applyFill="1" applyBorder="1" applyAlignment="1">
      <alignment horizontal="center" vertical="center" wrapText="1"/>
    </xf>
    <xf numFmtId="164" fontId="18" fillId="0" borderId="0" xfId="52" applyFont="1" applyFill="1" applyAlignment="1">
      <alignment vertical="center" wrapText="1"/>
    </xf>
    <xf numFmtId="164" fontId="18" fillId="0" borderId="1" xfId="52" applyFont="1" applyFill="1" applyBorder="1" applyAlignment="1">
      <alignment vertical="center" wrapText="1"/>
    </xf>
    <xf numFmtId="164" fontId="18" fillId="0" borderId="0" xfId="52" applyFont="1" applyFill="1" applyAlignment="1">
      <alignment horizontal="right" vertical="center" wrapText="1"/>
    </xf>
    <xf numFmtId="164" fontId="17" fillId="0" borderId="1" xfId="52" applyFont="1" applyBorder="1" applyAlignment="1">
      <alignment vertical="center" wrapText="1"/>
    </xf>
    <xf numFmtId="49" fontId="11" fillId="0" borderId="0" xfId="0" applyNumberFormat="1" applyFont="1" applyFill="1" applyAlignment="1">
      <alignment horizontal="left" vertical="center" wrapText="1"/>
    </xf>
    <xf numFmtId="164" fontId="8" fillId="0" borderId="1" xfId="52" applyFont="1" applyFill="1" applyBorder="1" applyAlignment="1">
      <alignment horizontal="center" vertical="center" wrapText="1"/>
    </xf>
    <xf numFmtId="164" fontId="10" fillId="0" borderId="0" xfId="52" applyFont="1" applyBorder="1" applyAlignment="1">
      <alignment horizontal="center" vertical="center" wrapText="1"/>
    </xf>
    <xf numFmtId="164" fontId="11" fillId="0" borderId="1" xfId="52" applyFont="1" applyFill="1" applyBorder="1" applyAlignment="1">
      <alignment horizontal="center" vertical="center" wrapText="1"/>
    </xf>
    <xf numFmtId="164" fontId="8" fillId="0" borderId="6" xfId="52"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3" fillId="0" borderId="1" xfId="52"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0" xfId="0" applyNumberFormat="1" applyFont="1" applyFill="1" applyAlignment="1">
      <alignment horizontal="left" vertical="center" wrapText="1"/>
    </xf>
    <xf numFmtId="14" fontId="11" fillId="0" borderId="0" xfId="0" applyNumberFormat="1" applyFont="1" applyFill="1" applyAlignment="1">
      <alignment vertical="center" wrapText="1"/>
    </xf>
    <xf numFmtId="0" fontId="11" fillId="0" borderId="0" xfId="0" applyFont="1" applyAlignment="1">
      <alignment horizontal="right" vertical="center" wrapText="1"/>
    </xf>
    <xf numFmtId="14" fontId="11" fillId="0" borderId="0" xfId="0" applyNumberFormat="1" applyFont="1" applyAlignment="1">
      <alignment horizontal="right" vertical="center" wrapText="1"/>
    </xf>
    <xf numFmtId="0" fontId="10" fillId="0" borderId="0" xfId="0" applyFont="1" applyAlignment="1">
      <alignment horizontal="right" vertical="center" wrapText="1"/>
    </xf>
    <xf numFmtId="164" fontId="10" fillId="0" borderId="0" xfId="52" applyFont="1" applyAlignment="1">
      <alignment horizontal="right" vertical="center" wrapText="1"/>
    </xf>
    <xf numFmtId="0" fontId="10" fillId="0" borderId="0" xfId="0" applyFont="1" applyFill="1" applyAlignment="1">
      <alignment horizontal="right" vertical="center" wrapText="1"/>
    </xf>
    <xf numFmtId="4" fontId="10" fillId="0" borderId="0" xfId="0" applyNumberFormat="1" applyFont="1" applyAlignment="1">
      <alignment horizontal="right" vertical="center" wrapText="1"/>
    </xf>
    <xf numFmtId="164" fontId="10" fillId="0" borderId="12" xfId="52" applyFont="1" applyBorder="1" applyAlignment="1">
      <alignment horizontal="right" vertical="center" wrapText="1"/>
    </xf>
    <xf numFmtId="165" fontId="10" fillId="0" borderId="0" xfId="0" applyNumberFormat="1" applyFont="1" applyAlignment="1">
      <alignment horizontal="right" vertical="center" wrapText="1"/>
    </xf>
    <xf numFmtId="164" fontId="10" fillId="0" borderId="0" xfId="0" applyNumberFormat="1" applyFont="1" applyAlignment="1">
      <alignment horizontal="right" vertical="center" wrapText="1"/>
    </xf>
    <xf numFmtId="164" fontId="13" fillId="0" borderId="1" xfId="52" applyFont="1" applyFill="1" applyBorder="1" applyAlignment="1">
      <alignment horizontal="center" vertical="center" wrapText="1"/>
    </xf>
    <xf numFmtId="164" fontId="12" fillId="0" borderId="0" xfId="52"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164" fontId="11" fillId="0" borderId="0" xfId="52" applyFont="1" applyFill="1" applyAlignment="1">
      <alignment vertical="center" wrapText="1"/>
    </xf>
    <xf numFmtId="164" fontId="12" fillId="0" borderId="0" xfId="52" applyFont="1" applyFill="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65" fontId="12" fillId="0" borderId="0" xfId="0" applyNumberFormat="1" applyFont="1" applyFill="1" applyAlignment="1">
      <alignment vertical="center" wrapText="1"/>
    </xf>
    <xf numFmtId="4" fontId="10" fillId="0" borderId="0" xfId="0" applyNumberFormat="1" applyFont="1" applyFill="1" applyAlignment="1">
      <alignment vertical="center" wrapText="1"/>
    </xf>
    <xf numFmtId="164" fontId="10" fillId="0" borderId="0" xfId="52" applyFont="1" applyFill="1" applyBorder="1" applyAlignment="1">
      <alignment vertical="center" wrapText="1"/>
    </xf>
    <xf numFmtId="166" fontId="10" fillId="0" borderId="0" xfId="0" applyNumberFormat="1" applyFont="1" applyFill="1" applyAlignment="1">
      <alignment vertical="center"/>
    </xf>
    <xf numFmtId="43" fontId="10" fillId="0" borderId="0" xfId="0" applyNumberFormat="1" applyFont="1" applyFill="1" applyAlignment="1">
      <alignment vertical="center" wrapText="1"/>
    </xf>
    <xf numFmtId="165" fontId="12" fillId="0" borderId="0" xfId="0" applyNumberFormat="1" applyFont="1" applyFill="1" applyBorder="1" applyAlignment="1">
      <alignment vertical="center" wrapText="1"/>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12" fillId="0" borderId="0" xfId="0" applyFont="1" applyFill="1" applyAlignment="1">
      <alignment horizontal="left" vertical="center" wrapText="1"/>
    </xf>
    <xf numFmtId="14" fontId="12" fillId="0" borderId="0" xfId="0" applyNumberFormat="1" applyFont="1" applyFill="1" applyAlignment="1">
      <alignment horizontal="center" vertical="center" wrapText="1"/>
    </xf>
    <xf numFmtId="164" fontId="12" fillId="0" borderId="0" xfId="52" applyFont="1" applyFill="1" applyAlignment="1">
      <alignment horizontal="right" vertical="center" wrapText="1"/>
    </xf>
    <xf numFmtId="0" fontId="13" fillId="0" borderId="0" xfId="0" applyFont="1" applyFill="1" applyAlignment="1">
      <alignment vertical="center" wrapText="1"/>
    </xf>
    <xf numFmtId="0" fontId="13" fillId="0" borderId="0" xfId="0" applyFont="1" applyFill="1" applyAlignment="1">
      <alignment horizontal="center" vertical="center" wrapText="1"/>
    </xf>
    <xf numFmtId="164" fontId="13" fillId="0" borderId="0" xfId="52" applyFont="1" applyFill="1" applyAlignment="1">
      <alignment horizontal="center" vertical="center" wrapText="1"/>
    </xf>
    <xf numFmtId="165" fontId="10" fillId="0" borderId="0" xfId="0" applyNumberFormat="1" applyFont="1" applyFill="1" applyAlignment="1">
      <alignment horizontal="center" vertical="center" wrapText="1"/>
    </xf>
    <xf numFmtId="0" fontId="12"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164" fontId="11" fillId="0" borderId="0" xfId="52" applyFont="1" applyFill="1" applyBorder="1" applyAlignment="1">
      <alignment vertical="center" wrapText="1"/>
    </xf>
    <xf numFmtId="164" fontId="8" fillId="4" borderId="1" xfId="52" applyFont="1" applyFill="1" applyBorder="1" applyAlignment="1">
      <alignment horizontal="center" vertical="center" wrapText="1"/>
    </xf>
    <xf numFmtId="164" fontId="18" fillId="0" borderId="0" xfId="52" applyFont="1" applyAlignment="1">
      <alignment vertical="center" wrapText="1"/>
    </xf>
    <xf numFmtId="164" fontId="18" fillId="0" borderId="0" xfId="52" applyFont="1" applyAlignment="1">
      <alignment horizontal="right" vertical="center" wrapText="1"/>
    </xf>
    <xf numFmtId="49" fontId="11" fillId="0" borderId="0"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164" fontId="13" fillId="0" borderId="1" xfId="52" applyFont="1" applyFill="1" applyBorder="1" applyAlignment="1">
      <alignment horizontal="center" vertical="center" wrapText="1"/>
    </xf>
    <xf numFmtId="4" fontId="10" fillId="0" borderId="0" xfId="0" applyNumberFormat="1" applyFont="1" applyFill="1" applyAlignment="1">
      <alignment horizontal="center" vertical="center" wrapText="1"/>
    </xf>
    <xf numFmtId="4" fontId="10" fillId="0" borderId="0" xfId="0" applyNumberFormat="1" applyFont="1" applyFill="1" applyAlignment="1" applyProtection="1">
      <alignment horizontal="center" vertical="center" wrapText="1"/>
      <protection locked="0"/>
    </xf>
    <xf numFmtId="164" fontId="10" fillId="0" borderId="0" xfId="52" applyNumberFormat="1" applyFont="1" applyFill="1" applyAlignment="1">
      <alignment vertical="center" wrapText="1"/>
    </xf>
    <xf numFmtId="164" fontId="10" fillId="0" borderId="0" xfId="52" applyNumberFormat="1" applyFont="1" applyFill="1" applyBorder="1" applyAlignment="1">
      <alignment vertical="center" wrapText="1"/>
    </xf>
    <xf numFmtId="49" fontId="11" fillId="0" borderId="1" xfId="0" applyNumberFormat="1" applyFont="1" applyBorder="1" applyAlignment="1">
      <alignment horizontal="center" vertical="center" wrapText="1"/>
    </xf>
    <xf numFmtId="49" fontId="11" fillId="4" borderId="1" xfId="0" applyNumberFormat="1" applyFont="1" applyFill="1" applyBorder="1" applyAlignment="1">
      <alignment horizontal="center" vertical="center" wrapText="1"/>
    </xf>
    <xf numFmtId="49" fontId="11" fillId="0" borderId="0" xfId="0" applyNumberFormat="1" applyFont="1" applyBorder="1" applyAlignment="1">
      <alignment horizontal="left" vertical="center" wrapText="1"/>
    </xf>
    <xf numFmtId="49" fontId="11" fillId="0" borderId="1" xfId="0" applyNumberFormat="1" applyFont="1" applyFill="1" applyBorder="1" applyAlignment="1">
      <alignment horizontal="center" vertical="center" wrapText="1"/>
    </xf>
    <xf numFmtId="164" fontId="11" fillId="0" borderId="1" xfId="52"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8" fillId="0" borderId="1" xfId="52" applyFont="1" applyFill="1" applyBorder="1" applyAlignment="1">
      <alignment horizontal="center" vertical="center" wrapText="1"/>
    </xf>
    <xf numFmtId="164" fontId="10" fillId="0" borderId="1" xfId="52" applyNumberFormat="1" applyFont="1" applyFill="1" applyBorder="1" applyAlignment="1">
      <alignment vertical="center" wrapText="1"/>
    </xf>
    <xf numFmtId="0" fontId="10" fillId="0" borderId="1" xfId="0" applyFont="1" applyFill="1" applyBorder="1" applyAlignment="1">
      <alignment horizontal="left" vertical="center" wrapText="1"/>
    </xf>
    <xf numFmtId="4" fontId="10" fillId="0" borderId="1" xfId="0" applyNumberFormat="1" applyFont="1" applyBorder="1" applyAlignment="1">
      <alignment vertical="center" wrapText="1"/>
    </xf>
    <xf numFmtId="4" fontId="18" fillId="0" borderId="0" xfId="0" applyNumberFormat="1" applyFont="1" applyAlignment="1">
      <alignment vertical="center" wrapText="1"/>
    </xf>
    <xf numFmtId="4" fontId="18" fillId="0" borderId="1" xfId="0" applyNumberFormat="1" applyFont="1" applyBorder="1" applyAlignment="1">
      <alignment vertical="center" wrapText="1"/>
    </xf>
    <xf numFmtId="4" fontId="10" fillId="0" borderId="0" xfId="0" applyNumberFormat="1" applyFont="1" applyAlignment="1">
      <alignment vertical="center" wrapText="1"/>
    </xf>
    <xf numFmtId="43" fontId="10" fillId="0" borderId="0" xfId="52" applyNumberFormat="1" applyFont="1" applyAlignment="1">
      <alignment vertical="center" wrapText="1"/>
    </xf>
    <xf numFmtId="0" fontId="10" fillId="0" borderId="1" xfId="0" applyFont="1" applyBorder="1" applyAlignment="1">
      <alignment vertical="center"/>
    </xf>
    <xf numFmtId="0" fontId="10" fillId="0" borderId="6" xfId="0" applyFont="1" applyBorder="1" applyAlignment="1">
      <alignment vertical="center" wrapText="1"/>
    </xf>
    <xf numFmtId="0" fontId="10" fillId="5" borderId="1" xfId="0" applyFont="1" applyFill="1" applyBorder="1" applyAlignment="1">
      <alignment wrapText="1"/>
    </xf>
    <xf numFmtId="0" fontId="10" fillId="0" borderId="6" xfId="0" applyFont="1" applyFill="1" applyBorder="1" applyAlignment="1">
      <alignment vertical="center" wrapText="1"/>
    </xf>
    <xf numFmtId="164" fontId="10" fillId="0" borderId="6" xfId="52" applyNumberFormat="1" applyFont="1" applyFill="1" applyBorder="1" applyAlignment="1">
      <alignment vertical="center" wrapText="1"/>
    </xf>
    <xf numFmtId="0" fontId="10" fillId="0" borderId="6" xfId="0"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4" fontId="10" fillId="0" borderId="6" xfId="0" applyNumberFormat="1" applyFont="1" applyBorder="1" applyAlignment="1">
      <alignment vertical="center" wrapText="1"/>
    </xf>
    <xf numFmtId="164" fontId="10" fillId="0" borderId="6" xfId="52" applyFont="1" applyBorder="1" applyAlignment="1">
      <alignment vertical="center" wrapText="1"/>
    </xf>
    <xf numFmtId="0" fontId="10" fillId="0" borderId="6" xfId="0" applyFont="1" applyFill="1" applyBorder="1" applyAlignment="1">
      <alignment horizontal="left" vertical="center" wrapText="1"/>
    </xf>
    <xf numFmtId="0" fontId="10" fillId="0" borderId="11" xfId="0" applyFont="1" applyBorder="1" applyAlignment="1">
      <alignment vertical="center" wrapText="1"/>
    </xf>
    <xf numFmtId="0" fontId="10" fillId="0" borderId="11" xfId="0" applyFont="1" applyFill="1" applyBorder="1" applyAlignment="1">
      <alignment vertical="center" wrapText="1"/>
    </xf>
    <xf numFmtId="164" fontId="10" fillId="0" borderId="11" xfId="52" applyNumberFormat="1" applyFont="1" applyFill="1" applyBorder="1" applyAlignment="1">
      <alignment vertical="center" wrapText="1"/>
    </xf>
    <xf numFmtId="0" fontId="10" fillId="0" borderId="11" xfId="0" applyFont="1" applyFill="1" applyBorder="1" applyAlignment="1">
      <alignment horizontal="center" vertical="center" wrapText="1"/>
    </xf>
    <xf numFmtId="14" fontId="10" fillId="0" borderId="11" xfId="0" applyNumberFormat="1" applyFont="1" applyFill="1" applyBorder="1" applyAlignment="1">
      <alignment horizontal="center" vertical="center" wrapText="1"/>
    </xf>
    <xf numFmtId="4" fontId="10" fillId="0" borderId="11" xfId="0" applyNumberFormat="1" applyFont="1" applyBorder="1" applyAlignment="1">
      <alignment vertical="center" wrapText="1"/>
    </xf>
    <xf numFmtId="164" fontId="10" fillId="0" borderId="11" xfId="52" applyFont="1" applyBorder="1" applyAlignment="1">
      <alignment vertical="center" wrapText="1"/>
    </xf>
    <xf numFmtId="0" fontId="10" fillId="0" borderId="11" xfId="0" applyFont="1" applyFill="1" applyBorder="1" applyAlignment="1">
      <alignment horizontal="left" vertical="center" wrapText="1"/>
    </xf>
    <xf numFmtId="165" fontId="10" fillId="0" borderId="0" xfId="0" applyNumberFormat="1" applyFont="1" applyFill="1" applyBorder="1" applyAlignment="1">
      <alignment vertical="center" wrapText="1"/>
    </xf>
    <xf numFmtId="0" fontId="10" fillId="0" borderId="0" xfId="0" applyFont="1" applyFill="1" applyBorder="1" applyAlignment="1">
      <alignment vertical="center" wrapText="1"/>
    </xf>
    <xf numFmtId="49" fontId="11" fillId="0" borderId="1" xfId="0" applyNumberFormat="1" applyFont="1" applyBorder="1" applyAlignment="1">
      <alignment horizontal="center" vertical="center" wrapText="1"/>
    </xf>
    <xf numFmtId="4" fontId="11" fillId="0" borderId="0" xfId="0" applyNumberFormat="1" applyFont="1" applyBorder="1" applyAlignment="1">
      <alignment horizontal="center" vertical="center" wrapText="1"/>
    </xf>
    <xf numFmtId="49" fontId="11" fillId="4" borderId="1" xfId="0" applyNumberFormat="1" applyFont="1" applyFill="1" applyBorder="1" applyAlignment="1">
      <alignment horizontal="center" vertical="center" wrapText="1"/>
    </xf>
    <xf numFmtId="49" fontId="11" fillId="0" borderId="0" xfId="0" applyNumberFormat="1" applyFont="1" applyBorder="1" applyAlignment="1">
      <alignment horizontal="left" vertical="center" wrapText="1"/>
    </xf>
    <xf numFmtId="49" fontId="11" fillId="0" borderId="1" xfId="0" applyNumberFormat="1" applyFont="1" applyFill="1" applyBorder="1" applyAlignment="1">
      <alignment horizontal="center" vertical="center" wrapText="1"/>
    </xf>
    <xf numFmtId="4" fontId="11" fillId="0" borderId="0" xfId="0" applyNumberFormat="1" applyFont="1" applyFill="1" applyBorder="1" applyAlignment="1" applyProtection="1">
      <alignment horizontal="center" vertical="center" wrapText="1"/>
      <protection locked="0"/>
    </xf>
    <xf numFmtId="164" fontId="11" fillId="4" borderId="1" xfId="52" applyFont="1" applyFill="1" applyBorder="1" applyAlignment="1">
      <alignment horizontal="center" vertical="center" wrapText="1"/>
    </xf>
    <xf numFmtId="164" fontId="11" fillId="0" borderId="1" xfId="52" applyFont="1" applyFill="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lignment horizontal="left" vertical="center" wrapText="1"/>
    </xf>
    <xf numFmtId="49" fontId="11" fillId="0" borderId="0" xfId="0" applyNumberFormat="1" applyFont="1" applyFill="1" applyAlignment="1">
      <alignment horizontal="left" vertical="center" wrapText="1"/>
    </xf>
    <xf numFmtId="49" fontId="11" fillId="0" borderId="0" xfId="0" applyNumberFormat="1" applyFont="1" applyFill="1" applyAlignment="1">
      <alignment horizontal="center" vertical="center" wrapText="1"/>
    </xf>
    <xf numFmtId="49" fontId="11" fillId="0" borderId="7" xfId="0" applyNumberFormat="1" applyFont="1" applyBorder="1" applyAlignment="1">
      <alignment horizontal="center" vertical="center"/>
    </xf>
    <xf numFmtId="4" fontId="11" fillId="0" borderId="7" xfId="0" applyNumberFormat="1" applyFont="1" applyFill="1" applyBorder="1" applyAlignment="1">
      <alignment horizontal="center" vertical="center" wrapText="1"/>
    </xf>
    <xf numFmtId="4" fontId="11" fillId="0" borderId="0" xfId="0" applyNumberFormat="1" applyFont="1" applyFill="1" applyAlignment="1" applyProtection="1">
      <alignment horizontal="center" vertical="center" wrapText="1"/>
      <protection locked="0"/>
    </xf>
    <xf numFmtId="164" fontId="13" fillId="0" borderId="1" xfId="52" applyFont="1" applyFill="1" applyBorder="1" applyAlignment="1">
      <alignment horizontal="center" vertical="center" wrapText="1"/>
    </xf>
    <xf numFmtId="49" fontId="11" fillId="0" borderId="0" xfId="0" applyNumberFormat="1" applyFont="1" applyAlignment="1">
      <alignment horizontal="center" vertical="center" wrapText="1"/>
    </xf>
    <xf numFmtId="49" fontId="15" fillId="0" borderId="0" xfId="0" applyNumberFormat="1" applyFont="1" applyFill="1" applyAlignment="1">
      <alignment horizontal="center" vertical="center" wrapText="1"/>
    </xf>
    <xf numFmtId="164" fontId="8" fillId="0" borderId="1" xfId="52" applyFont="1" applyFill="1" applyBorder="1" applyAlignment="1">
      <alignment horizontal="center" vertical="center" wrapText="1"/>
    </xf>
    <xf numFmtId="4" fontId="15" fillId="0" borderId="0" xfId="0" applyNumberFormat="1" applyFont="1" applyFill="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 fontId="11" fillId="0" borderId="0" xfId="0" applyNumberFormat="1" applyFont="1" applyFill="1" applyAlignment="1">
      <alignment horizontal="center" vertical="center" wrapText="1"/>
    </xf>
    <xf numFmtId="49" fontId="11" fillId="0" borderId="6"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6"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0" xfId="0" applyNumberFormat="1" applyFont="1" applyFill="1" applyBorder="1" applyAlignment="1">
      <alignment vertical="center" wrapText="1"/>
    </xf>
    <xf numFmtId="49" fontId="11" fillId="0" borderId="0" xfId="0" applyNumberFormat="1" applyFont="1" applyFill="1" applyAlignment="1">
      <alignment vertical="center" wrapText="1"/>
    </xf>
    <xf numFmtId="49" fontId="10"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vertical="center" wrapText="1"/>
      <protection locked="0"/>
    </xf>
    <xf numFmtId="49" fontId="10"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49" fontId="11" fillId="0" borderId="1" xfId="0" applyNumberFormat="1" applyFont="1" applyFill="1" applyBorder="1" applyAlignment="1">
      <alignment horizontal="left" vertical="center" wrapText="1"/>
    </xf>
    <xf numFmtId="49" fontId="10" fillId="0" borderId="0" xfId="0" applyNumberFormat="1" applyFont="1" applyFill="1" applyAlignment="1">
      <alignment horizontal="center" vertical="center" wrapText="1"/>
    </xf>
    <xf numFmtId="4" fontId="10" fillId="0" borderId="0" xfId="0" applyNumberFormat="1" applyFont="1" applyFill="1" applyAlignment="1" applyProtection="1">
      <alignment horizontal="center" vertical="center" wrapText="1"/>
      <protection locked="0"/>
    </xf>
    <xf numFmtId="49" fontId="10" fillId="0" borderId="0" xfId="0" applyNumberFormat="1" applyFont="1" applyFill="1" applyAlignment="1">
      <alignment vertical="center" wrapText="1"/>
    </xf>
  </cellXfs>
  <cellStyles count="174">
    <cellStyle name="Normal" xfId="0" builtinId="0"/>
    <cellStyle name="Normal 12" xfId="1"/>
    <cellStyle name="Normal 2" xfId="2"/>
    <cellStyle name="Normal 2 10" xfId="3"/>
    <cellStyle name="Normal 2 10 2" xfId="122"/>
    <cellStyle name="Normal 2 11" xfId="4"/>
    <cellStyle name="Normal 2 11 2" xfId="123"/>
    <cellStyle name="Normal 2 12" xfId="5"/>
    <cellStyle name="Normal 2 12 2" xfId="124"/>
    <cellStyle name="Normal 2 13" xfId="6"/>
    <cellStyle name="Normal 2 13 2" xfId="125"/>
    <cellStyle name="Normal 2 14" xfId="7"/>
    <cellStyle name="Normal 2 14 2" xfId="126"/>
    <cellStyle name="Normal 2 15" xfId="8"/>
    <cellStyle name="Normal 2 15 2" xfId="127"/>
    <cellStyle name="Normal 2 16" xfId="9"/>
    <cellStyle name="Normal 2 16 2" xfId="128"/>
    <cellStyle name="Normal 2 17" xfId="10"/>
    <cellStyle name="Normal 2 17 2" xfId="129"/>
    <cellStyle name="Normal 2 18" xfId="11"/>
    <cellStyle name="Normal 2 18 2" xfId="130"/>
    <cellStyle name="Normal 2 19" xfId="12"/>
    <cellStyle name="Normal 2 19 2" xfId="131"/>
    <cellStyle name="Normal 2 2" xfId="13"/>
    <cellStyle name="Normal 2 2 2" xfId="121"/>
    <cellStyle name="Normal 2 20" xfId="14"/>
    <cellStyle name="Normal 2 20 2" xfId="132"/>
    <cellStyle name="Normal 2 21" xfId="15"/>
    <cellStyle name="Normal 2 21 2" xfId="133"/>
    <cellStyle name="Normal 2 22" xfId="172"/>
    <cellStyle name="Normal 2 3" xfId="16"/>
    <cellStyle name="Normal 2 3 2" xfId="134"/>
    <cellStyle name="Normal 2 4" xfId="17"/>
    <cellStyle name="Normal 2 4 2" xfId="135"/>
    <cellStyle name="Normal 2 5" xfId="18"/>
    <cellStyle name="Normal 2 5 2" xfId="136"/>
    <cellStyle name="Normal 2 6" xfId="19"/>
    <cellStyle name="Normal 2 6 2" xfId="137"/>
    <cellStyle name="Normal 2 7" xfId="20"/>
    <cellStyle name="Normal 2 7 2" xfId="138"/>
    <cellStyle name="Normal 2 8" xfId="21"/>
    <cellStyle name="Normal 2 8 2" xfId="139"/>
    <cellStyle name="Normal 2 9" xfId="22"/>
    <cellStyle name="Normal 2 9 2" xfId="140"/>
    <cellStyle name="Normal 3" xfId="119"/>
    <cellStyle name="Normal 3 2" xfId="171"/>
    <cellStyle name="Normal 4" xfId="120"/>
    <cellStyle name="Normal 4 2" xfId="23"/>
    <cellStyle name="Normal 4 2 2" xfId="141"/>
    <cellStyle name="Normal 4 3" xfId="24"/>
    <cellStyle name="Normal 4 3 2" xfId="142"/>
    <cellStyle name="Normal 4 4" xfId="25"/>
    <cellStyle name="Normal 4 4 2" xfId="143"/>
    <cellStyle name="Normal 4 5" xfId="26"/>
    <cellStyle name="Normal 4 5 2" xfId="144"/>
    <cellStyle name="Normal 4 6" xfId="27"/>
    <cellStyle name="Normal 4 6 2" xfId="145"/>
    <cellStyle name="Normal 4 7" xfId="28"/>
    <cellStyle name="Normal 4 7 2" xfId="146"/>
    <cellStyle name="Normal 5 2" xfId="29"/>
    <cellStyle name="Normal 5 2 2" xfId="147"/>
    <cellStyle name="Normal 5 3" xfId="30"/>
    <cellStyle name="Normal 5 3 2" xfId="148"/>
    <cellStyle name="Normal 5 4" xfId="31"/>
    <cellStyle name="Normal 5 4 2" xfId="149"/>
    <cellStyle name="Normal 5 5" xfId="32"/>
    <cellStyle name="Normal 5 5 2" xfId="150"/>
    <cellStyle name="Normal 6 2" xfId="33"/>
    <cellStyle name="Normal 6 2 2" xfId="151"/>
    <cellStyle name="Normal 6 3" xfId="34"/>
    <cellStyle name="Normal 6 3 2" xfId="152"/>
    <cellStyle name="Normal 6 4" xfId="35"/>
    <cellStyle name="Normal 6 4 2" xfId="153"/>
    <cellStyle name="Normal 6 5" xfId="36"/>
    <cellStyle name="Normal 6 5 2" xfId="154"/>
    <cellStyle name="Normal 7 2" xfId="37"/>
    <cellStyle name="Normal 7 2 2" xfId="155"/>
    <cellStyle name="Normal 7 3" xfId="38"/>
    <cellStyle name="Normal 7 3 2" xfId="156"/>
    <cellStyle name="Normal 7 4" xfId="39"/>
    <cellStyle name="Normal 7 4 2" xfId="157"/>
    <cellStyle name="Normal 7 5" xfId="40"/>
    <cellStyle name="Normal 7 5 2" xfId="158"/>
    <cellStyle name="Normal 7 6" xfId="41"/>
    <cellStyle name="Normal 7 6 2" xfId="159"/>
    <cellStyle name="Normal 7 7" xfId="42"/>
    <cellStyle name="Normal 7 7 2" xfId="160"/>
    <cellStyle name="Normal 7 8" xfId="43"/>
    <cellStyle name="Normal 7 8 2" xfId="161"/>
    <cellStyle name="Normal 7 9" xfId="44"/>
    <cellStyle name="Normal 7 9 2" xfId="162"/>
    <cellStyle name="Normal 8 2" xfId="45"/>
    <cellStyle name="Normal 8 2 2" xfId="163"/>
    <cellStyle name="Normal 8 3" xfId="46"/>
    <cellStyle name="Normal 8 3 2" xfId="164"/>
    <cellStyle name="Normal 8 4" xfId="47"/>
    <cellStyle name="Normal 8 4 2" xfId="165"/>
    <cellStyle name="Normal 8 5" xfId="48"/>
    <cellStyle name="Normal 8 5 2" xfId="166"/>
    <cellStyle name="Normal 8 6" xfId="49"/>
    <cellStyle name="Normal 8 6 2" xfId="167"/>
    <cellStyle name="Normal 8 7" xfId="50"/>
    <cellStyle name="Normal 8 7 2" xfId="168"/>
    <cellStyle name="Normal 8 8" xfId="51"/>
    <cellStyle name="Normal 8 8 2" xfId="169"/>
    <cellStyle name="Separador de milhares" xfId="52" builtinId="3"/>
    <cellStyle name="Separador de milhares 10" xfId="173"/>
    <cellStyle name="Separador de milhares 10 2" xfId="53"/>
    <cellStyle name="Separador de milhares 10 3" xfId="54"/>
    <cellStyle name="Separador de milhares 10 4" xfId="55"/>
    <cellStyle name="Separador de milhares 10 5" xfId="56"/>
    <cellStyle name="Separador de milhares 11" xfId="57"/>
    <cellStyle name="Separador de milhares 11 2" xfId="58"/>
    <cellStyle name="Separador de milhares 11 3" xfId="59"/>
    <cellStyle name="Separador de milhares 11 4" xfId="60"/>
    <cellStyle name="Separador de milhares 11 5" xfId="61"/>
    <cellStyle name="Separador de milhares 11 6" xfId="62"/>
    <cellStyle name="Separador de milhares 11 7" xfId="63"/>
    <cellStyle name="Separador de milhares 11 8" xfId="64"/>
    <cellStyle name="Separador de milhares 11 9" xfId="65"/>
    <cellStyle name="Separador de milhares 12" xfId="66"/>
    <cellStyle name="Separador de milhares 12 2" xfId="67"/>
    <cellStyle name="Separador de milhares 12 3" xfId="68"/>
    <cellStyle name="Separador de milhares 12 4" xfId="69"/>
    <cellStyle name="Separador de milhares 12 5" xfId="70"/>
    <cellStyle name="Separador de milhares 12 6" xfId="71"/>
    <cellStyle name="Separador de milhares 12 7" xfId="72"/>
    <cellStyle name="Separador de milhares 12 8" xfId="73"/>
    <cellStyle name="Separador de milhares 12 9" xfId="74"/>
    <cellStyle name="Separador de milhares 13" xfId="75"/>
    <cellStyle name="Separador de milhares 13 2" xfId="76"/>
    <cellStyle name="Separador de milhares 13 3" xfId="77"/>
    <cellStyle name="Separador de milhares 13 4" xfId="78"/>
    <cellStyle name="Separador de milhares 13 5" xfId="79"/>
    <cellStyle name="Separador de milhares 13 6" xfId="80"/>
    <cellStyle name="Separador de milhares 13 7" xfId="81"/>
    <cellStyle name="Separador de milhares 13 8" xfId="82"/>
    <cellStyle name="Separador de milhares 13 9" xfId="83"/>
    <cellStyle name="Separador de milhares 14" xfId="84"/>
    <cellStyle name="Separador de milhares 14 2" xfId="85"/>
    <cellStyle name="Separador de milhares 14 3" xfId="86"/>
    <cellStyle name="Separador de milhares 14 4" xfId="87"/>
    <cellStyle name="Separador de milhares 14 5" xfId="88"/>
    <cellStyle name="Separador de milhares 14 6" xfId="89"/>
    <cellStyle name="Separador de milhares 14 7" xfId="90"/>
    <cellStyle name="Separador de milhares 14 8" xfId="91"/>
    <cellStyle name="Separador de milhares 14 9" xfId="92"/>
    <cellStyle name="Separador de milhares 15 2" xfId="93"/>
    <cellStyle name="Separador de milhares 15 3" xfId="94"/>
    <cellStyle name="Separador de milhares 15 4" xfId="95"/>
    <cellStyle name="Separador de milhares 16 2" xfId="96"/>
    <cellStyle name="Separador de milhares 16 3" xfId="97"/>
    <cellStyle name="Separador de milhares 17" xfId="98"/>
    <cellStyle name="Separador de milhares 18" xfId="99"/>
    <cellStyle name="Separador de milhares 19" xfId="100"/>
    <cellStyle name="Separador de milhares 2 10" xfId="170"/>
    <cellStyle name="Separador de milhares 2 2" xfId="101"/>
    <cellStyle name="Separador de milhares 2 3" xfId="102"/>
    <cellStyle name="Separador de milhares 2 4" xfId="103"/>
    <cellStyle name="Separador de milhares 2 5" xfId="104"/>
    <cellStyle name="Separador de milhares 2 6" xfId="105"/>
    <cellStyle name="Separador de milhares 2 7" xfId="106"/>
    <cellStyle name="Separador de milhares 2 8" xfId="107"/>
    <cellStyle name="Separador de milhares 2 9" xfId="108"/>
    <cellStyle name="Separador de milhares 20" xfId="109"/>
    <cellStyle name="Separador de milhares 21" xfId="110"/>
    <cellStyle name="Separador de milhares 22" xfId="111"/>
    <cellStyle name="Separador de milhares 3" xfId="112"/>
    <cellStyle name="Separador de milhares 4" xfId="113"/>
    <cellStyle name="Separador de milhares 5" xfId="114"/>
    <cellStyle name="Separador de milhares 6" xfId="115"/>
    <cellStyle name="Separador de milhares 7" xfId="116"/>
    <cellStyle name="Separador de milhares 8" xfId="117"/>
    <cellStyle name="Separador de milhares 9" xfId="1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66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Plan1"/>
  <dimension ref="A1:DI91"/>
  <sheetViews>
    <sheetView tabSelected="1" topLeftCell="A88" workbookViewId="0">
      <selection activeCell="Y10" sqref="Y10"/>
    </sheetView>
  </sheetViews>
  <sheetFormatPr defaultColWidth="9.15234375" defaultRowHeight="10.75"/>
  <cols>
    <col min="1" max="1" width="14.3828125" style="9" customWidth="1"/>
    <col min="2" max="2" width="44.15234375" style="9" customWidth="1"/>
    <col min="3" max="3" width="10.23046875" style="13" bestFit="1" customWidth="1"/>
    <col min="4" max="4" width="13.3828125" style="9" bestFit="1" customWidth="1"/>
    <col min="5" max="5" width="10.61328125" style="10" bestFit="1" customWidth="1"/>
    <col min="6" max="6" width="14.921875" style="10" bestFit="1" customWidth="1"/>
    <col min="7" max="7" width="13.3046875" style="9" bestFit="1" customWidth="1"/>
    <col min="8" max="8" width="17.15234375" style="22" customWidth="1"/>
    <col min="9" max="9" width="9.84375" style="11" bestFit="1" customWidth="1"/>
    <col min="10" max="10" width="9.3828125" style="23" customWidth="1"/>
    <col min="11" max="11" width="7.07421875" style="13" customWidth="1"/>
    <col min="12" max="12" width="11.4609375" style="144" customWidth="1"/>
    <col min="13" max="13" width="10.84375" style="34" customWidth="1"/>
    <col min="14" max="14" width="7.4609375" style="11" hidden="1" customWidth="1"/>
    <col min="15" max="15" width="12.69140625" style="92" hidden="1" customWidth="1"/>
    <col min="16" max="16" width="9.3828125" style="25" hidden="1" customWidth="1"/>
    <col min="17" max="17" width="9.69140625" style="24" customWidth="1"/>
    <col min="18" max="18" width="14.921875" style="94" bestFit="1" customWidth="1"/>
    <col min="19" max="20" width="11.53515625" style="143" customWidth="1"/>
    <col min="21" max="21" width="12.84375" style="143" customWidth="1"/>
    <col min="22" max="22" width="8.53515625" style="11" customWidth="1"/>
    <col min="23" max="16384" width="9.15234375" style="9"/>
  </cols>
  <sheetData>
    <row r="1" spans="1:38" s="60" customFormat="1">
      <c r="A1" s="197" t="s">
        <v>0</v>
      </c>
      <c r="B1" s="197"/>
      <c r="C1" s="197"/>
      <c r="D1" s="197"/>
      <c r="E1" s="197"/>
      <c r="F1" s="197"/>
      <c r="G1" s="197"/>
      <c r="H1" s="197"/>
      <c r="I1" s="197"/>
      <c r="J1" s="197"/>
      <c r="K1" s="197"/>
      <c r="L1" s="197"/>
      <c r="M1" s="197"/>
      <c r="N1" s="197"/>
      <c r="O1" s="197"/>
      <c r="P1" s="197"/>
      <c r="Q1" s="197"/>
      <c r="R1" s="197"/>
      <c r="S1" s="197"/>
      <c r="T1" s="197"/>
      <c r="U1" s="197"/>
      <c r="V1" s="195"/>
    </row>
    <row r="2" spans="1:38" s="60" customFormat="1">
      <c r="A2" s="197" t="s">
        <v>114</v>
      </c>
      <c r="B2" s="197"/>
      <c r="C2" s="197"/>
      <c r="D2" s="197"/>
      <c r="E2" s="197"/>
      <c r="F2" s="197"/>
      <c r="G2" s="195"/>
      <c r="H2" s="195"/>
      <c r="I2" s="195"/>
      <c r="J2" s="195"/>
      <c r="K2" s="195"/>
      <c r="L2" s="195"/>
      <c r="M2" s="195"/>
      <c r="N2" s="195"/>
      <c r="O2" s="195"/>
      <c r="P2" s="195"/>
      <c r="Q2" s="195"/>
      <c r="R2" s="195"/>
      <c r="S2" s="195"/>
      <c r="T2" s="195"/>
      <c r="U2" s="195"/>
      <c r="V2" s="195"/>
    </row>
    <row r="3" spans="1:38" s="60" customFormat="1">
      <c r="A3" s="197" t="s">
        <v>84</v>
      </c>
      <c r="B3" s="197"/>
      <c r="C3" s="197"/>
      <c r="D3" s="197"/>
      <c r="E3" s="197"/>
      <c r="F3" s="197"/>
      <c r="G3" s="195"/>
      <c r="H3" s="195"/>
      <c r="I3" s="195"/>
      <c r="J3" s="195"/>
      <c r="K3" s="195"/>
      <c r="L3" s="195"/>
      <c r="M3" s="195"/>
      <c r="N3" s="195"/>
      <c r="O3" s="195"/>
      <c r="P3" s="195"/>
      <c r="Q3" s="195"/>
      <c r="R3" s="195"/>
      <c r="S3" s="195"/>
      <c r="T3" s="195"/>
      <c r="U3" s="195"/>
      <c r="V3" s="195"/>
    </row>
    <row r="4" spans="1:38" s="60" customFormat="1">
      <c r="A4" s="157" t="s">
        <v>276</v>
      </c>
      <c r="B4" s="157"/>
      <c r="C4" s="50"/>
      <c r="D4" s="61"/>
      <c r="E4" s="63"/>
      <c r="F4" s="195"/>
      <c r="G4" s="195"/>
      <c r="H4" s="195"/>
      <c r="I4" s="62"/>
      <c r="J4" s="191"/>
      <c r="K4" s="191"/>
      <c r="L4" s="191"/>
      <c r="M4" s="191"/>
      <c r="N4" s="191"/>
      <c r="O4" s="191"/>
      <c r="P4" s="63"/>
      <c r="Q4" s="196" t="s">
        <v>113</v>
      </c>
      <c r="R4" s="196"/>
      <c r="S4" s="196"/>
      <c r="T4" s="196"/>
      <c r="U4" s="196"/>
      <c r="V4" s="196"/>
    </row>
    <row r="5" spans="1:38" s="59" customFormat="1">
      <c r="A5" s="189" t="s">
        <v>124</v>
      </c>
      <c r="B5" s="189"/>
      <c r="C5" s="189"/>
      <c r="D5" s="154"/>
      <c r="E5" s="64"/>
      <c r="F5" s="194"/>
      <c r="G5" s="194"/>
      <c r="H5" s="194"/>
      <c r="I5" s="62"/>
      <c r="J5" s="187"/>
      <c r="K5" s="187"/>
      <c r="L5" s="187"/>
      <c r="M5" s="187"/>
      <c r="N5" s="187"/>
      <c r="O5" s="187"/>
      <c r="P5" s="141"/>
      <c r="Q5" s="194" t="s">
        <v>2</v>
      </c>
      <c r="R5" s="194"/>
      <c r="S5" s="194"/>
      <c r="T5" s="194"/>
      <c r="U5" s="194"/>
      <c r="V5" s="194"/>
    </row>
    <row r="6" spans="1:38" s="40" customFormat="1">
      <c r="A6" s="186" t="s">
        <v>4</v>
      </c>
      <c r="B6" s="186" t="s">
        <v>5</v>
      </c>
      <c r="C6" s="186" t="s">
        <v>6</v>
      </c>
      <c r="D6" s="186"/>
      <c r="E6" s="186"/>
      <c r="F6" s="186"/>
      <c r="G6" s="186" t="s">
        <v>7</v>
      </c>
      <c r="H6" s="186"/>
      <c r="I6" s="188" t="s">
        <v>8</v>
      </c>
      <c r="J6" s="188"/>
      <c r="K6" s="188"/>
      <c r="L6" s="188"/>
      <c r="M6" s="188"/>
      <c r="N6" s="190" t="s">
        <v>9</v>
      </c>
      <c r="O6" s="190"/>
      <c r="P6" s="193" t="s">
        <v>10</v>
      </c>
      <c r="Q6" s="192" t="s">
        <v>11</v>
      </c>
      <c r="R6" s="192"/>
      <c r="S6" s="192"/>
      <c r="T6" s="192"/>
      <c r="U6" s="192"/>
      <c r="V6" s="190" t="s">
        <v>12</v>
      </c>
    </row>
    <row r="7" spans="1:38" s="39" customFormat="1" ht="42.9">
      <c r="A7" s="186"/>
      <c r="B7" s="186"/>
      <c r="C7" s="152" t="s">
        <v>13</v>
      </c>
      <c r="D7" s="152" t="s">
        <v>14</v>
      </c>
      <c r="E7" s="65" t="s">
        <v>15</v>
      </c>
      <c r="F7" s="65" t="s">
        <v>16</v>
      </c>
      <c r="G7" s="152" t="s">
        <v>17</v>
      </c>
      <c r="H7" s="152" t="s">
        <v>18</v>
      </c>
      <c r="I7" s="155" t="s">
        <v>13</v>
      </c>
      <c r="J7" s="66" t="s">
        <v>19</v>
      </c>
      <c r="K7" s="153" t="s">
        <v>20</v>
      </c>
      <c r="L7" s="142" t="s">
        <v>21</v>
      </c>
      <c r="M7" s="32" t="s">
        <v>22</v>
      </c>
      <c r="N7" s="155" t="s">
        <v>23</v>
      </c>
      <c r="O7" s="158" t="s">
        <v>24</v>
      </c>
      <c r="P7" s="193"/>
      <c r="Q7" s="156" t="s">
        <v>25</v>
      </c>
      <c r="R7" s="158" t="s">
        <v>26</v>
      </c>
      <c r="S7" s="142" t="s">
        <v>27</v>
      </c>
      <c r="T7" s="142" t="s">
        <v>28</v>
      </c>
      <c r="U7" s="142" t="s">
        <v>29</v>
      </c>
      <c r="V7" s="190"/>
    </row>
    <row r="8" spans="1:38" s="20" customFormat="1" ht="21.45">
      <c r="A8" s="19" t="s">
        <v>51</v>
      </c>
      <c r="B8" s="19" t="s">
        <v>52</v>
      </c>
      <c r="C8" s="19">
        <v>0</v>
      </c>
      <c r="D8" s="159">
        <v>0</v>
      </c>
      <c r="E8" s="159">
        <v>0</v>
      </c>
      <c r="F8" s="159">
        <v>0</v>
      </c>
      <c r="G8" s="19" t="s">
        <v>44</v>
      </c>
      <c r="H8" s="19" t="s">
        <v>50</v>
      </c>
      <c r="I8" s="17" t="s">
        <v>53</v>
      </c>
      <c r="J8" s="35">
        <v>42769</v>
      </c>
      <c r="K8" s="17">
        <v>365</v>
      </c>
      <c r="L8" s="159">
        <v>38286283.020000003</v>
      </c>
      <c r="M8" s="35">
        <f t="shared" ref="M8:M32" si="0">J8+K8+N8</f>
        <v>44776</v>
      </c>
      <c r="N8" s="17">
        <f>1460+182</f>
        <v>1642</v>
      </c>
      <c r="O8" s="159">
        <f>165526211.35+24483974.67</f>
        <v>190010186.01999998</v>
      </c>
      <c r="P8" s="159">
        <f>6210860.26+2235403.04</f>
        <v>8446263.3000000007</v>
      </c>
      <c r="Q8" s="17" t="s">
        <v>30</v>
      </c>
      <c r="R8" s="159">
        <f>155264320.45+8800458.81</f>
        <v>164064779.25999999</v>
      </c>
      <c r="S8" s="159">
        <v>8800458.8100000005</v>
      </c>
      <c r="T8" s="16">
        <f t="shared" ref="T8:T32" si="1">S8</f>
        <v>8800458.8100000005</v>
      </c>
      <c r="U8" s="159" t="e">
        <f>#REF!+T8</f>
        <v>#REF!</v>
      </c>
      <c r="V8" s="160" t="s">
        <v>31</v>
      </c>
      <c r="X8" s="42"/>
      <c r="Y8" s="150"/>
      <c r="Z8" s="150"/>
      <c r="AL8" s="150"/>
    </row>
    <row r="9" spans="1:38" s="20" customFormat="1" ht="21.45">
      <c r="A9" s="19" t="s">
        <v>55</v>
      </c>
      <c r="B9" s="19" t="s">
        <v>56</v>
      </c>
      <c r="C9" s="19">
        <v>0</v>
      </c>
      <c r="D9" s="159">
        <v>0</v>
      </c>
      <c r="E9" s="159">
        <v>0</v>
      </c>
      <c r="F9" s="159">
        <v>0</v>
      </c>
      <c r="G9" s="19" t="s">
        <v>57</v>
      </c>
      <c r="H9" s="19" t="s">
        <v>169</v>
      </c>
      <c r="I9" s="17" t="s">
        <v>58</v>
      </c>
      <c r="J9" s="35">
        <v>42772</v>
      </c>
      <c r="K9" s="17">
        <v>365</v>
      </c>
      <c r="L9" s="159">
        <v>1777584.96</v>
      </c>
      <c r="M9" s="35">
        <f t="shared" si="0"/>
        <v>44597</v>
      </c>
      <c r="N9" s="17">
        <v>1460</v>
      </c>
      <c r="O9" s="159">
        <v>8848759.4399999995</v>
      </c>
      <c r="P9" s="159">
        <v>88092.12</v>
      </c>
      <c r="Q9" s="17" t="s">
        <v>30</v>
      </c>
      <c r="R9" s="159">
        <v>6723678.3900000006</v>
      </c>
      <c r="S9" s="159">
        <v>31990.75</v>
      </c>
      <c r="T9" s="16">
        <f t="shared" si="1"/>
        <v>31990.75</v>
      </c>
      <c r="U9" s="159" t="e">
        <f>#REF!+T9</f>
        <v>#REF!</v>
      </c>
      <c r="V9" s="160" t="s">
        <v>190</v>
      </c>
      <c r="X9" s="42"/>
      <c r="Y9" s="150"/>
      <c r="Z9" s="150"/>
      <c r="AL9" s="150"/>
    </row>
    <row r="10" spans="1:38" s="20" customFormat="1" ht="21.45">
      <c r="A10" s="19" t="s">
        <v>51</v>
      </c>
      <c r="B10" s="19" t="s">
        <v>52</v>
      </c>
      <c r="C10" s="19">
        <v>0</v>
      </c>
      <c r="D10" s="159">
        <v>0</v>
      </c>
      <c r="E10" s="159">
        <v>0</v>
      </c>
      <c r="F10" s="159">
        <v>0</v>
      </c>
      <c r="G10" s="19" t="s">
        <v>44</v>
      </c>
      <c r="H10" s="19" t="s">
        <v>50</v>
      </c>
      <c r="I10" s="17" t="s">
        <v>60</v>
      </c>
      <c r="J10" s="35">
        <v>42769</v>
      </c>
      <c r="K10" s="17">
        <v>365</v>
      </c>
      <c r="L10" s="159">
        <v>8888698.4900000002</v>
      </c>
      <c r="M10" s="35">
        <f t="shared" si="0"/>
        <v>44776</v>
      </c>
      <c r="N10" s="17">
        <f>1460+182</f>
        <v>1642</v>
      </c>
      <c r="O10" s="159">
        <f>38166300.71+5683857.86</f>
        <v>43850158.57</v>
      </c>
      <c r="P10" s="159">
        <v>1440957.39</v>
      </c>
      <c r="Q10" s="17" t="s">
        <v>30</v>
      </c>
      <c r="R10" s="159">
        <f>36515984.95+2242659.59</f>
        <v>38758644.540000007</v>
      </c>
      <c r="S10" s="159">
        <v>2242659.59</v>
      </c>
      <c r="T10" s="16">
        <f t="shared" si="1"/>
        <v>2242659.59</v>
      </c>
      <c r="U10" s="159" t="e">
        <f>#REF!+T10</f>
        <v>#REF!</v>
      </c>
      <c r="V10" s="160" t="s">
        <v>31</v>
      </c>
      <c r="W10" s="42"/>
      <c r="X10" s="42"/>
      <c r="Y10" s="150"/>
      <c r="Z10" s="150"/>
      <c r="AL10" s="150"/>
    </row>
    <row r="11" spans="1:38" s="20" customFormat="1" ht="21.45">
      <c r="A11" s="19" t="s">
        <v>75</v>
      </c>
      <c r="B11" s="19" t="s">
        <v>76</v>
      </c>
      <c r="C11" s="19">
        <v>0</v>
      </c>
      <c r="D11" s="159">
        <v>0</v>
      </c>
      <c r="E11" s="159">
        <v>0</v>
      </c>
      <c r="F11" s="159">
        <v>0</v>
      </c>
      <c r="G11" s="19" t="s">
        <v>36</v>
      </c>
      <c r="H11" s="19" t="s">
        <v>77</v>
      </c>
      <c r="I11" s="17" t="s">
        <v>78</v>
      </c>
      <c r="J11" s="35">
        <v>42814</v>
      </c>
      <c r="K11" s="17">
        <v>365</v>
      </c>
      <c r="L11" s="159">
        <v>3423770.88</v>
      </c>
      <c r="M11" s="35">
        <f t="shared" si="0"/>
        <v>44959</v>
      </c>
      <c r="N11" s="17">
        <f>1415+365</f>
        <v>1780</v>
      </c>
      <c r="O11" s="159">
        <f>18506015.4+4978561.8</f>
        <v>23484577.199999999</v>
      </c>
      <c r="P11" s="159">
        <v>559078.56000000006</v>
      </c>
      <c r="Q11" s="17" t="s">
        <v>30</v>
      </c>
      <c r="R11" s="159">
        <f>20161099.38+589433.02</f>
        <v>20750532.399999999</v>
      </c>
      <c r="S11" s="159">
        <v>589433.02</v>
      </c>
      <c r="T11" s="16">
        <f t="shared" si="1"/>
        <v>589433.02</v>
      </c>
      <c r="U11" s="159" t="e">
        <f>#REF!+T11</f>
        <v>#REF!</v>
      </c>
      <c r="V11" s="160" t="s">
        <v>31</v>
      </c>
      <c r="X11" s="42"/>
      <c r="Y11" s="150"/>
      <c r="Z11" s="150"/>
      <c r="AL11" s="150"/>
    </row>
    <row r="12" spans="1:38" s="20" customFormat="1" ht="21.45">
      <c r="A12" s="19" t="s">
        <v>165</v>
      </c>
      <c r="B12" s="19" t="s">
        <v>65</v>
      </c>
      <c r="C12" s="19">
        <v>0</v>
      </c>
      <c r="D12" s="159">
        <v>0</v>
      </c>
      <c r="E12" s="159">
        <v>0</v>
      </c>
      <c r="F12" s="159">
        <v>0</v>
      </c>
      <c r="G12" s="19" t="s">
        <v>36</v>
      </c>
      <c r="H12" s="19" t="s">
        <v>37</v>
      </c>
      <c r="I12" s="17" t="s">
        <v>64</v>
      </c>
      <c r="J12" s="35">
        <v>42795</v>
      </c>
      <c r="K12" s="17">
        <v>365</v>
      </c>
      <c r="L12" s="159">
        <v>1223866.8</v>
      </c>
      <c r="M12" s="35">
        <f t="shared" si="0"/>
        <v>44620</v>
      </c>
      <c r="N12" s="17">
        <v>1460</v>
      </c>
      <c r="O12" s="159">
        <v>4923839.5200000005</v>
      </c>
      <c r="P12" s="159">
        <v>81998.64</v>
      </c>
      <c r="Q12" s="17" t="s">
        <v>30</v>
      </c>
      <c r="R12" s="159">
        <f>5919102.33+219564.08</f>
        <v>6138666.4100000001</v>
      </c>
      <c r="S12" s="159">
        <v>219564.08</v>
      </c>
      <c r="T12" s="16">
        <f t="shared" si="1"/>
        <v>219564.08</v>
      </c>
      <c r="U12" s="159" t="e">
        <f>#REF!+T12</f>
        <v>#REF!</v>
      </c>
      <c r="V12" s="160" t="s">
        <v>31</v>
      </c>
      <c r="X12" s="42"/>
      <c r="Y12" s="150"/>
      <c r="Z12" s="150"/>
      <c r="AL12" s="150"/>
    </row>
    <row r="13" spans="1:38" s="20" customFormat="1" ht="32.15">
      <c r="A13" s="19" t="s">
        <v>81</v>
      </c>
      <c r="B13" s="19" t="s">
        <v>80</v>
      </c>
      <c r="C13" s="19">
        <v>0</v>
      </c>
      <c r="D13" s="159">
        <v>0</v>
      </c>
      <c r="E13" s="159">
        <v>0</v>
      </c>
      <c r="F13" s="159">
        <v>0</v>
      </c>
      <c r="G13" s="19" t="s">
        <v>88</v>
      </c>
      <c r="H13" s="19" t="s">
        <v>48</v>
      </c>
      <c r="I13" s="17" t="s">
        <v>79</v>
      </c>
      <c r="J13" s="35">
        <v>42940</v>
      </c>
      <c r="K13" s="17">
        <v>365</v>
      </c>
      <c r="L13" s="159">
        <v>11944999.92</v>
      </c>
      <c r="M13" s="35">
        <f t="shared" si="0"/>
        <v>44765</v>
      </c>
      <c r="N13" s="17">
        <v>1460</v>
      </c>
      <c r="O13" s="159">
        <v>60684020.43</v>
      </c>
      <c r="P13" s="159">
        <v>1492079.88</v>
      </c>
      <c r="Q13" s="17" t="s">
        <v>30</v>
      </c>
      <c r="R13" s="159">
        <f>40855418.08+2498941.87</f>
        <v>43354359.949999996</v>
      </c>
      <c r="S13" s="159">
        <v>2498941.87</v>
      </c>
      <c r="T13" s="16">
        <f t="shared" si="1"/>
        <v>2498941.87</v>
      </c>
      <c r="U13" s="159" t="e">
        <f>#REF!+T13</f>
        <v>#REF!</v>
      </c>
      <c r="V13" s="160" t="s">
        <v>31</v>
      </c>
      <c r="W13" s="125"/>
      <c r="X13" s="42"/>
      <c r="Y13" s="150"/>
      <c r="Z13" s="150"/>
      <c r="AL13" s="150"/>
    </row>
    <row r="14" spans="1:38" s="20" customFormat="1" ht="32.15">
      <c r="A14" s="19" t="s">
        <v>98</v>
      </c>
      <c r="B14" s="19" t="s">
        <v>97</v>
      </c>
      <c r="C14" s="19" t="s">
        <v>154</v>
      </c>
      <c r="D14" s="159" t="s">
        <v>109</v>
      </c>
      <c r="E14" s="159">
        <v>184899815.11999997</v>
      </c>
      <c r="F14" s="159">
        <v>0</v>
      </c>
      <c r="G14" s="19" t="s">
        <v>61</v>
      </c>
      <c r="H14" s="19" t="s">
        <v>99</v>
      </c>
      <c r="I14" s="17" t="s">
        <v>100</v>
      </c>
      <c r="J14" s="35">
        <v>43571</v>
      </c>
      <c r="K14" s="17">
        <v>1125</v>
      </c>
      <c r="L14" s="159">
        <v>10309281.699999999</v>
      </c>
      <c r="M14" s="35">
        <f t="shared" si="0"/>
        <v>44696</v>
      </c>
      <c r="N14" s="17">
        <v>0</v>
      </c>
      <c r="O14" s="159">
        <v>0</v>
      </c>
      <c r="P14" s="159">
        <f>1659020.11+1141546.31</f>
        <v>2800566.42</v>
      </c>
      <c r="Q14" s="17" t="s">
        <v>49</v>
      </c>
      <c r="R14" s="159">
        <f>4474449.06+913381.71</f>
        <v>5387830.7699999996</v>
      </c>
      <c r="S14" s="159">
        <v>423975.98</v>
      </c>
      <c r="T14" s="16">
        <f t="shared" si="1"/>
        <v>423975.98</v>
      </c>
      <c r="U14" s="159" t="e">
        <f>#REF!+T14</f>
        <v>#REF!</v>
      </c>
      <c r="V14" s="160" t="s">
        <v>31</v>
      </c>
      <c r="X14" s="42"/>
      <c r="Y14" s="150"/>
      <c r="Z14" s="150"/>
      <c r="AL14" s="150"/>
    </row>
    <row r="15" spans="1:38" s="20" customFormat="1" ht="32.15">
      <c r="A15" s="19" t="s">
        <v>98</v>
      </c>
      <c r="B15" s="19" t="s">
        <v>103</v>
      </c>
      <c r="C15" s="19" t="s">
        <v>154</v>
      </c>
      <c r="D15" s="159" t="s">
        <v>109</v>
      </c>
      <c r="E15" s="159">
        <v>184899815.11999997</v>
      </c>
      <c r="F15" s="159">
        <v>0</v>
      </c>
      <c r="G15" s="19" t="s">
        <v>61</v>
      </c>
      <c r="H15" s="19" t="s">
        <v>99</v>
      </c>
      <c r="I15" s="17" t="s">
        <v>101</v>
      </c>
      <c r="J15" s="35">
        <v>43571</v>
      </c>
      <c r="K15" s="17">
        <v>1125</v>
      </c>
      <c r="L15" s="159">
        <v>11446659.060000001</v>
      </c>
      <c r="M15" s="35">
        <f t="shared" si="0"/>
        <v>44696</v>
      </c>
      <c r="N15" s="17">
        <v>0</v>
      </c>
      <c r="O15" s="159">
        <v>5430.8</v>
      </c>
      <c r="P15" s="159">
        <v>1849376.19</v>
      </c>
      <c r="Q15" s="17" t="s">
        <v>49</v>
      </c>
      <c r="R15" s="159">
        <f>4436181.95+1070533.83</f>
        <v>5506715.7800000003</v>
      </c>
      <c r="S15" s="159">
        <v>728444.13</v>
      </c>
      <c r="T15" s="16">
        <f t="shared" si="1"/>
        <v>728444.13</v>
      </c>
      <c r="U15" s="159" t="e">
        <f>#REF!+T15</f>
        <v>#REF!</v>
      </c>
      <c r="V15" s="160" t="s">
        <v>31</v>
      </c>
      <c r="X15" s="42"/>
      <c r="Y15" s="150"/>
      <c r="Z15" s="150"/>
      <c r="AL15" s="150"/>
    </row>
    <row r="16" spans="1:38" s="20" customFormat="1" ht="32.15">
      <c r="A16" s="19" t="s">
        <v>98</v>
      </c>
      <c r="B16" s="19" t="s">
        <v>102</v>
      </c>
      <c r="C16" s="19" t="s">
        <v>154</v>
      </c>
      <c r="D16" s="159" t="s">
        <v>109</v>
      </c>
      <c r="E16" s="159">
        <v>184899815.11999997</v>
      </c>
      <c r="F16" s="159">
        <v>0</v>
      </c>
      <c r="G16" s="19" t="s">
        <v>61</v>
      </c>
      <c r="H16" s="19" t="s">
        <v>99</v>
      </c>
      <c r="I16" s="17" t="s">
        <v>104</v>
      </c>
      <c r="J16" s="35">
        <v>43571</v>
      </c>
      <c r="K16" s="17">
        <v>1125</v>
      </c>
      <c r="L16" s="159">
        <v>11869839.779999999</v>
      </c>
      <c r="M16" s="35">
        <f t="shared" si="0"/>
        <v>44696</v>
      </c>
      <c r="N16" s="17">
        <v>0</v>
      </c>
      <c r="O16" s="159">
        <v>310156</v>
      </c>
      <c r="P16" s="159">
        <f>1917782.34+1314967.41</f>
        <v>3232749.75</v>
      </c>
      <c r="Q16" s="17" t="s">
        <v>49</v>
      </c>
      <c r="R16" s="159">
        <f>6866633.27+916219.52</f>
        <v>7782852.7899999991</v>
      </c>
      <c r="S16" s="159">
        <v>423943.03</v>
      </c>
      <c r="T16" s="16">
        <f t="shared" si="1"/>
        <v>423943.03</v>
      </c>
      <c r="U16" s="159" t="e">
        <f>#REF!+T16</f>
        <v>#REF!</v>
      </c>
      <c r="V16" s="160" t="s">
        <v>31</v>
      </c>
      <c r="X16" s="42"/>
      <c r="Y16" s="150"/>
      <c r="Z16" s="150"/>
      <c r="AL16" s="150"/>
    </row>
    <row r="17" spans="1:38" s="20" customFormat="1" ht="42.9">
      <c r="A17" s="19" t="s">
        <v>112</v>
      </c>
      <c r="B17" s="19" t="s">
        <v>110</v>
      </c>
      <c r="C17" s="19">
        <v>0</v>
      </c>
      <c r="D17" s="159">
        <v>0</v>
      </c>
      <c r="E17" s="159">
        <v>0</v>
      </c>
      <c r="F17" s="159">
        <v>0</v>
      </c>
      <c r="G17" s="19" t="s">
        <v>35</v>
      </c>
      <c r="H17" s="19" t="s">
        <v>66</v>
      </c>
      <c r="I17" s="17" t="s">
        <v>111</v>
      </c>
      <c r="J17" s="35">
        <v>43633</v>
      </c>
      <c r="K17" s="17">
        <v>395</v>
      </c>
      <c r="L17" s="159">
        <v>12390281.279999999</v>
      </c>
      <c r="M17" s="35">
        <f t="shared" si="0"/>
        <v>44758</v>
      </c>
      <c r="N17" s="17">
        <v>730</v>
      </c>
      <c r="O17" s="159">
        <v>28104956.880000003</v>
      </c>
      <c r="P17" s="159">
        <v>2473711.6800000002</v>
      </c>
      <c r="Q17" s="17" t="s">
        <v>30</v>
      </c>
      <c r="R17" s="159">
        <f>20670546.94+1826891.1</f>
        <v>22497438.040000003</v>
      </c>
      <c r="S17" s="159">
        <v>1826891.1</v>
      </c>
      <c r="T17" s="16">
        <f t="shared" si="1"/>
        <v>1826891.1</v>
      </c>
      <c r="U17" s="159" t="e">
        <f>#REF!+T17</f>
        <v>#REF!</v>
      </c>
      <c r="V17" s="160" t="s">
        <v>31</v>
      </c>
      <c r="X17" s="42"/>
      <c r="Y17" s="150"/>
      <c r="Z17" s="150"/>
      <c r="AL17" s="150"/>
    </row>
    <row r="18" spans="1:38" s="20" customFormat="1" ht="53.6">
      <c r="A18" s="19" t="s">
        <v>117</v>
      </c>
      <c r="B18" s="19" t="s">
        <v>116</v>
      </c>
      <c r="C18" s="19">
        <v>0</v>
      </c>
      <c r="D18" s="159">
        <v>0</v>
      </c>
      <c r="E18" s="159">
        <v>0</v>
      </c>
      <c r="F18" s="159">
        <v>0</v>
      </c>
      <c r="G18" s="19" t="s">
        <v>36</v>
      </c>
      <c r="H18" s="19" t="s">
        <v>115</v>
      </c>
      <c r="I18" s="17" t="s">
        <v>118</v>
      </c>
      <c r="J18" s="35">
        <v>43769</v>
      </c>
      <c r="K18" s="17">
        <v>760</v>
      </c>
      <c r="L18" s="159">
        <v>2584195.6</v>
      </c>
      <c r="M18" s="35">
        <f t="shared" si="0"/>
        <v>44619</v>
      </c>
      <c r="N18" s="17">
        <v>90</v>
      </c>
      <c r="O18" s="159">
        <v>327163.7</v>
      </c>
      <c r="P18" s="159">
        <v>-44558.22</v>
      </c>
      <c r="Q18" s="17" t="s">
        <v>30</v>
      </c>
      <c r="R18" s="159">
        <f>1985756.23+65458.07</f>
        <v>2051214.3</v>
      </c>
      <c r="S18" s="159">
        <v>65458.07</v>
      </c>
      <c r="T18" s="16">
        <f t="shared" si="1"/>
        <v>65458.07</v>
      </c>
      <c r="U18" s="159" t="e">
        <f>#REF!+T18</f>
        <v>#REF!</v>
      </c>
      <c r="V18" s="160" t="s">
        <v>190</v>
      </c>
      <c r="Y18" s="150"/>
      <c r="Z18" s="150"/>
      <c r="AL18" s="150"/>
    </row>
    <row r="19" spans="1:38" s="20" customFormat="1" ht="21.45">
      <c r="A19" s="19" t="s">
        <v>125</v>
      </c>
      <c r="B19" s="19" t="s">
        <v>126</v>
      </c>
      <c r="C19" s="19">
        <v>0</v>
      </c>
      <c r="D19" s="159">
        <v>0</v>
      </c>
      <c r="E19" s="159">
        <v>0</v>
      </c>
      <c r="F19" s="159">
        <v>0</v>
      </c>
      <c r="G19" s="19" t="s">
        <v>95</v>
      </c>
      <c r="H19" s="19" t="s">
        <v>96</v>
      </c>
      <c r="I19" s="17" t="s">
        <v>127</v>
      </c>
      <c r="J19" s="35">
        <v>44007</v>
      </c>
      <c r="K19" s="17">
        <v>760</v>
      </c>
      <c r="L19" s="159">
        <v>1152030.3799999999</v>
      </c>
      <c r="M19" s="35">
        <f t="shared" si="0"/>
        <v>44767</v>
      </c>
      <c r="N19" s="17">
        <v>0</v>
      </c>
      <c r="O19" s="159">
        <v>0</v>
      </c>
      <c r="P19" s="159">
        <v>0</v>
      </c>
      <c r="Q19" s="17" t="s">
        <v>30</v>
      </c>
      <c r="R19" s="159">
        <f>668925.52+90735.72</f>
        <v>759661.24</v>
      </c>
      <c r="S19" s="159">
        <v>90735.72</v>
      </c>
      <c r="T19" s="16">
        <f t="shared" si="1"/>
        <v>90735.72</v>
      </c>
      <c r="U19" s="159" t="e">
        <f>#REF!+T19</f>
        <v>#REF!</v>
      </c>
      <c r="V19" s="160" t="s">
        <v>31</v>
      </c>
      <c r="X19" s="42"/>
      <c r="Y19" s="150"/>
      <c r="Z19" s="150"/>
      <c r="AL19" s="150"/>
    </row>
    <row r="20" spans="1:38" s="20" customFormat="1" ht="32.15">
      <c r="A20" s="19" t="s">
        <v>128</v>
      </c>
      <c r="B20" s="19" t="s">
        <v>129</v>
      </c>
      <c r="C20" s="19">
        <v>0</v>
      </c>
      <c r="D20" s="159">
        <v>0</v>
      </c>
      <c r="E20" s="159">
        <v>0</v>
      </c>
      <c r="F20" s="159">
        <v>0</v>
      </c>
      <c r="G20" s="19" t="s">
        <v>61</v>
      </c>
      <c r="H20" s="19" t="s">
        <v>99</v>
      </c>
      <c r="I20" s="17" t="s">
        <v>130</v>
      </c>
      <c r="J20" s="35">
        <v>43997</v>
      </c>
      <c r="K20" s="17">
        <v>1125</v>
      </c>
      <c r="L20" s="159">
        <v>17094320.969999999</v>
      </c>
      <c r="M20" s="35">
        <f t="shared" si="0"/>
        <v>45122</v>
      </c>
      <c r="N20" s="17">
        <v>0</v>
      </c>
      <c r="O20" s="159">
        <f>1812464.42+1198963.28</f>
        <v>3011427.7</v>
      </c>
      <c r="P20" s="159">
        <v>2353695.85</v>
      </c>
      <c r="Q20" s="17" t="s">
        <v>30</v>
      </c>
      <c r="R20" s="159">
        <f>11124492.25+1246752.65</f>
        <v>12371244.9</v>
      </c>
      <c r="S20" s="159">
        <v>673777.29</v>
      </c>
      <c r="T20" s="16">
        <f t="shared" si="1"/>
        <v>673777.29</v>
      </c>
      <c r="U20" s="159" t="e">
        <f>#REF!+T20</f>
        <v>#REF!</v>
      </c>
      <c r="V20" s="160" t="s">
        <v>31</v>
      </c>
      <c r="W20" s="42"/>
      <c r="X20" s="42"/>
      <c r="Y20" s="150"/>
      <c r="Z20" s="150"/>
      <c r="AL20" s="150"/>
    </row>
    <row r="21" spans="1:38" s="20" customFormat="1" ht="21.45">
      <c r="A21" s="19" t="s">
        <v>128</v>
      </c>
      <c r="B21" s="19" t="s">
        <v>131</v>
      </c>
      <c r="C21" s="19">
        <v>0</v>
      </c>
      <c r="D21" s="159">
        <v>0</v>
      </c>
      <c r="E21" s="159">
        <v>0</v>
      </c>
      <c r="F21" s="159">
        <v>0</v>
      </c>
      <c r="G21" s="19" t="s">
        <v>33</v>
      </c>
      <c r="H21" s="19" t="s">
        <v>92</v>
      </c>
      <c r="I21" s="17" t="s">
        <v>132</v>
      </c>
      <c r="J21" s="35">
        <v>43997</v>
      </c>
      <c r="K21" s="17">
        <v>1125</v>
      </c>
      <c r="L21" s="159">
        <v>18840293.850000001</v>
      </c>
      <c r="M21" s="35">
        <f t="shared" si="0"/>
        <v>45122</v>
      </c>
      <c r="N21" s="17">
        <v>0</v>
      </c>
      <c r="O21" s="159">
        <v>3429757.7</v>
      </c>
      <c r="P21" s="159">
        <v>2594739.9900000002</v>
      </c>
      <c r="Q21" s="17" t="s">
        <v>30</v>
      </c>
      <c r="R21" s="159">
        <f>11235857.03+1600362.39</f>
        <v>12836219.42</v>
      </c>
      <c r="S21" s="159">
        <v>1230404.19</v>
      </c>
      <c r="T21" s="16">
        <f t="shared" si="1"/>
        <v>1230404.19</v>
      </c>
      <c r="U21" s="159" t="e">
        <f>#REF!+T21</f>
        <v>#REF!</v>
      </c>
      <c r="V21" s="160" t="s">
        <v>31</v>
      </c>
      <c r="X21" s="42"/>
      <c r="Y21" s="150"/>
      <c r="Z21" s="150"/>
      <c r="AL21" s="150"/>
    </row>
    <row r="22" spans="1:38" s="20" customFormat="1" ht="32.15">
      <c r="A22" s="19" t="s">
        <v>135</v>
      </c>
      <c r="B22" s="19" t="s">
        <v>133</v>
      </c>
      <c r="C22" s="19">
        <v>0</v>
      </c>
      <c r="D22" s="159">
        <v>0</v>
      </c>
      <c r="E22" s="159">
        <v>0</v>
      </c>
      <c r="F22" s="159">
        <v>0</v>
      </c>
      <c r="G22" s="19" t="s">
        <v>38</v>
      </c>
      <c r="H22" s="19" t="s">
        <v>39</v>
      </c>
      <c r="I22" s="17" t="s">
        <v>134</v>
      </c>
      <c r="J22" s="35">
        <v>44007</v>
      </c>
      <c r="K22" s="17">
        <v>365</v>
      </c>
      <c r="L22" s="159">
        <v>251180</v>
      </c>
      <c r="M22" s="35">
        <f t="shared" si="0"/>
        <v>44737</v>
      </c>
      <c r="N22" s="17">
        <v>365</v>
      </c>
      <c r="O22" s="159">
        <v>251180</v>
      </c>
      <c r="P22" s="159">
        <v>0</v>
      </c>
      <c r="Q22" s="17" t="s">
        <v>30</v>
      </c>
      <c r="R22" s="159">
        <f>298831+31040</f>
        <v>329871</v>
      </c>
      <c r="S22" s="159">
        <v>31040</v>
      </c>
      <c r="T22" s="16">
        <f t="shared" si="1"/>
        <v>31040</v>
      </c>
      <c r="U22" s="159" t="e">
        <f>#REF!+T22</f>
        <v>#REF!</v>
      </c>
      <c r="V22" s="160" t="s">
        <v>31</v>
      </c>
      <c r="X22" s="42"/>
      <c r="Y22" s="150"/>
      <c r="Z22" s="150"/>
      <c r="AL22" s="150"/>
    </row>
    <row r="23" spans="1:38" s="20" customFormat="1" ht="32.15">
      <c r="A23" s="19" t="s">
        <v>138</v>
      </c>
      <c r="B23" s="19" t="s">
        <v>139</v>
      </c>
      <c r="C23" s="19">
        <v>0</v>
      </c>
      <c r="D23" s="159">
        <v>0</v>
      </c>
      <c r="E23" s="159">
        <v>0</v>
      </c>
      <c r="F23" s="159">
        <v>0</v>
      </c>
      <c r="G23" s="19" t="s">
        <v>35</v>
      </c>
      <c r="H23" s="19" t="s">
        <v>66</v>
      </c>
      <c r="I23" s="17" t="s">
        <v>140</v>
      </c>
      <c r="J23" s="35">
        <v>44084</v>
      </c>
      <c r="K23" s="17">
        <v>760</v>
      </c>
      <c r="L23" s="159">
        <v>2567335.44</v>
      </c>
      <c r="M23" s="35">
        <f t="shared" si="0"/>
        <v>44844</v>
      </c>
      <c r="N23" s="17">
        <v>0</v>
      </c>
      <c r="O23" s="159">
        <v>0</v>
      </c>
      <c r="P23" s="159">
        <v>0</v>
      </c>
      <c r="Q23" s="17" t="s">
        <v>30</v>
      </c>
      <c r="R23" s="159">
        <f>1475710.47+174397.54</f>
        <v>1650108.01</v>
      </c>
      <c r="S23" s="159">
        <v>174397.54</v>
      </c>
      <c r="T23" s="16">
        <f t="shared" si="1"/>
        <v>174397.54</v>
      </c>
      <c r="U23" s="159" t="e">
        <f>#REF!+T23</f>
        <v>#REF!</v>
      </c>
      <c r="V23" s="160" t="s">
        <v>31</v>
      </c>
      <c r="W23" s="150"/>
      <c r="X23" s="42"/>
      <c r="Y23" s="150"/>
      <c r="Z23" s="150"/>
      <c r="AL23" s="150"/>
    </row>
    <row r="24" spans="1:38" s="20" customFormat="1" ht="32.15">
      <c r="A24" s="19" t="s">
        <v>141</v>
      </c>
      <c r="B24" s="19" t="s">
        <v>142</v>
      </c>
      <c r="C24" s="19" t="s">
        <v>155</v>
      </c>
      <c r="D24" s="159" t="s">
        <v>109</v>
      </c>
      <c r="E24" s="159">
        <v>94508747.5</v>
      </c>
      <c r="F24" s="159">
        <v>0</v>
      </c>
      <c r="G24" s="19" t="s">
        <v>120</v>
      </c>
      <c r="H24" s="19" t="s">
        <v>121</v>
      </c>
      <c r="I24" s="17" t="s">
        <v>143</v>
      </c>
      <c r="J24" s="35">
        <v>44089</v>
      </c>
      <c r="K24" s="17">
        <v>210</v>
      </c>
      <c r="L24" s="159">
        <v>3335155.86</v>
      </c>
      <c r="M24" s="35">
        <f t="shared" si="0"/>
        <v>44584</v>
      </c>
      <c r="N24" s="17">
        <v>285</v>
      </c>
      <c r="O24" s="159">
        <v>767945.97</v>
      </c>
      <c r="P24" s="159">
        <v>0</v>
      </c>
      <c r="Q24" s="17" t="s">
        <v>49</v>
      </c>
      <c r="R24" s="159">
        <v>3486185.38</v>
      </c>
      <c r="S24" s="159">
        <v>538484.02</v>
      </c>
      <c r="T24" s="16">
        <f t="shared" si="1"/>
        <v>538484.02</v>
      </c>
      <c r="U24" s="159" t="e">
        <f>#REF!+T24</f>
        <v>#REF!</v>
      </c>
      <c r="V24" s="160" t="s">
        <v>190</v>
      </c>
      <c r="X24" s="42"/>
      <c r="Y24" s="150"/>
      <c r="Z24" s="150"/>
      <c r="AL24" s="150"/>
    </row>
    <row r="25" spans="1:38" s="20" customFormat="1" ht="21.45">
      <c r="A25" s="19" t="s">
        <v>144</v>
      </c>
      <c r="B25" s="19" t="s">
        <v>145</v>
      </c>
      <c r="C25" s="19">
        <v>0</v>
      </c>
      <c r="D25" s="159">
        <v>0</v>
      </c>
      <c r="E25" s="159">
        <v>0</v>
      </c>
      <c r="F25" s="159">
        <v>0</v>
      </c>
      <c r="G25" s="19" t="s">
        <v>91</v>
      </c>
      <c r="H25" s="19" t="s">
        <v>146</v>
      </c>
      <c r="I25" s="17" t="s">
        <v>147</v>
      </c>
      <c r="J25" s="35">
        <v>44105</v>
      </c>
      <c r="K25" s="17">
        <v>760</v>
      </c>
      <c r="L25" s="159">
        <v>6329253.0300000003</v>
      </c>
      <c r="M25" s="35">
        <f t="shared" si="0"/>
        <v>44865</v>
      </c>
      <c r="N25" s="17">
        <v>0</v>
      </c>
      <c r="O25" s="159">
        <v>0</v>
      </c>
      <c r="P25" s="159">
        <v>707143.97</v>
      </c>
      <c r="Q25" s="17" t="s">
        <v>30</v>
      </c>
      <c r="R25" s="159">
        <f>2672131.82+190665.44</f>
        <v>2862797.26</v>
      </c>
      <c r="S25" s="159">
        <v>125227.49</v>
      </c>
      <c r="T25" s="16">
        <f t="shared" si="1"/>
        <v>125227.49</v>
      </c>
      <c r="U25" s="159" t="e">
        <f>#REF!+T25</f>
        <v>#REF!</v>
      </c>
      <c r="V25" s="160" t="s">
        <v>31</v>
      </c>
      <c r="X25" s="42"/>
      <c r="Y25" s="150"/>
      <c r="Z25" s="150"/>
      <c r="AL25" s="150"/>
    </row>
    <row r="26" spans="1:38" s="20" customFormat="1" ht="21.45">
      <c r="A26" s="19" t="s">
        <v>144</v>
      </c>
      <c r="B26" s="19" t="s">
        <v>148</v>
      </c>
      <c r="C26" s="19">
        <v>0</v>
      </c>
      <c r="D26" s="159">
        <v>0</v>
      </c>
      <c r="E26" s="159">
        <v>0</v>
      </c>
      <c r="F26" s="159">
        <v>0</v>
      </c>
      <c r="G26" s="19" t="s">
        <v>62</v>
      </c>
      <c r="H26" s="19" t="s">
        <v>63</v>
      </c>
      <c r="I26" s="17" t="s">
        <v>149</v>
      </c>
      <c r="J26" s="35">
        <v>44130</v>
      </c>
      <c r="K26" s="17">
        <v>760</v>
      </c>
      <c r="L26" s="159">
        <v>9905518.1799999997</v>
      </c>
      <c r="M26" s="35">
        <f t="shared" si="0"/>
        <v>44890</v>
      </c>
      <c r="N26" s="17">
        <v>0</v>
      </c>
      <c r="O26" s="159">
        <v>100704.67</v>
      </c>
      <c r="P26" s="159">
        <v>1135184.8</v>
      </c>
      <c r="Q26" s="17" t="s">
        <v>30</v>
      </c>
      <c r="R26" s="159">
        <f>5268329.02+543187.5</f>
        <v>5811516.5199999996</v>
      </c>
      <c r="S26" s="159">
        <f>76353.45+466834.05</f>
        <v>543187.5</v>
      </c>
      <c r="T26" s="16">
        <f t="shared" si="1"/>
        <v>543187.5</v>
      </c>
      <c r="U26" s="159" t="e">
        <f>#REF!+T26</f>
        <v>#REF!</v>
      </c>
      <c r="V26" s="160" t="s">
        <v>31</v>
      </c>
      <c r="W26" s="128"/>
      <c r="X26" s="42"/>
      <c r="Y26" s="150"/>
      <c r="Z26" s="150"/>
      <c r="AL26" s="150"/>
    </row>
    <row r="27" spans="1:38" s="20" customFormat="1" ht="21.45">
      <c r="A27" s="19" t="s">
        <v>144</v>
      </c>
      <c r="B27" s="19" t="s">
        <v>150</v>
      </c>
      <c r="C27" s="19">
        <v>0</v>
      </c>
      <c r="D27" s="159">
        <v>0</v>
      </c>
      <c r="E27" s="159">
        <v>0</v>
      </c>
      <c r="F27" s="159">
        <v>0</v>
      </c>
      <c r="G27" s="19" t="s">
        <v>91</v>
      </c>
      <c r="H27" s="19" t="s">
        <v>146</v>
      </c>
      <c r="I27" s="17" t="s">
        <v>151</v>
      </c>
      <c r="J27" s="35">
        <v>44130</v>
      </c>
      <c r="K27" s="17">
        <v>760</v>
      </c>
      <c r="L27" s="159">
        <v>12232966.380000001</v>
      </c>
      <c r="M27" s="35">
        <f t="shared" si="0"/>
        <v>44890</v>
      </c>
      <c r="N27" s="17">
        <v>0</v>
      </c>
      <c r="O27" s="159">
        <f>175288.78+40223.5</f>
        <v>215512.28</v>
      </c>
      <c r="P27" s="159">
        <v>1362845.01</v>
      </c>
      <c r="Q27" s="17" t="s">
        <v>30</v>
      </c>
      <c r="R27" s="159">
        <f>7431664.16+322971.63</f>
        <v>7754635.79</v>
      </c>
      <c r="S27" s="159">
        <f>12526.96+281972.4</f>
        <v>294499.36000000004</v>
      </c>
      <c r="T27" s="16">
        <f t="shared" si="1"/>
        <v>294499.36000000004</v>
      </c>
      <c r="U27" s="159" t="e">
        <f>#REF!+T27</f>
        <v>#REF!</v>
      </c>
      <c r="V27" s="160" t="s">
        <v>31</v>
      </c>
      <c r="X27" s="42"/>
      <c r="Y27" s="150"/>
      <c r="Z27" s="150"/>
      <c r="AL27" s="150"/>
    </row>
    <row r="28" spans="1:38" s="20" customFormat="1" ht="21.45">
      <c r="A28" s="19" t="s">
        <v>144</v>
      </c>
      <c r="B28" s="19" t="s">
        <v>152</v>
      </c>
      <c r="C28" s="19">
        <v>0</v>
      </c>
      <c r="D28" s="159">
        <v>0</v>
      </c>
      <c r="E28" s="159">
        <v>0</v>
      </c>
      <c r="F28" s="159">
        <v>0</v>
      </c>
      <c r="G28" s="19" t="s">
        <v>105</v>
      </c>
      <c r="H28" s="19" t="s">
        <v>106</v>
      </c>
      <c r="I28" s="17" t="s">
        <v>153</v>
      </c>
      <c r="J28" s="35">
        <v>44130</v>
      </c>
      <c r="K28" s="17">
        <v>760</v>
      </c>
      <c r="L28" s="159">
        <v>10773413.109999999</v>
      </c>
      <c r="M28" s="35">
        <f t="shared" si="0"/>
        <v>44890</v>
      </c>
      <c r="N28" s="17">
        <v>0</v>
      </c>
      <c r="O28" s="159">
        <v>0</v>
      </c>
      <c r="P28" s="159">
        <v>3401715.99</v>
      </c>
      <c r="Q28" s="17" t="s">
        <v>30</v>
      </c>
      <c r="R28" s="159">
        <f>4507486.96+223527.21</f>
        <v>4731014.17</v>
      </c>
      <c r="S28" s="159">
        <v>223527.21</v>
      </c>
      <c r="T28" s="16">
        <f t="shared" si="1"/>
        <v>223527.21</v>
      </c>
      <c r="U28" s="159" t="e">
        <f>#REF!+T28</f>
        <v>#REF!</v>
      </c>
      <c r="V28" s="160" t="s">
        <v>31</v>
      </c>
      <c r="X28" s="42"/>
      <c r="Y28" s="150"/>
      <c r="Z28" s="150"/>
      <c r="AL28" s="150"/>
    </row>
    <row r="29" spans="1:38" s="20" customFormat="1" ht="42.9">
      <c r="A29" s="19" t="s">
        <v>157</v>
      </c>
      <c r="B29" s="19" t="s">
        <v>158</v>
      </c>
      <c r="C29" s="19">
        <v>0</v>
      </c>
      <c r="D29" s="159">
        <v>0</v>
      </c>
      <c r="E29" s="159">
        <v>0</v>
      </c>
      <c r="F29" s="159">
        <v>0</v>
      </c>
      <c r="G29" s="19" t="s">
        <v>32</v>
      </c>
      <c r="H29" s="19" t="s">
        <v>40</v>
      </c>
      <c r="I29" s="17" t="s">
        <v>156</v>
      </c>
      <c r="J29" s="35">
        <v>44138</v>
      </c>
      <c r="K29" s="17">
        <v>760</v>
      </c>
      <c r="L29" s="159">
        <v>536156.1</v>
      </c>
      <c r="M29" s="35">
        <f t="shared" si="0"/>
        <v>44898</v>
      </c>
      <c r="N29" s="17">
        <v>0</v>
      </c>
      <c r="O29" s="159">
        <v>82719.179999999993</v>
      </c>
      <c r="P29" s="159">
        <v>0</v>
      </c>
      <c r="Q29" s="17" t="s">
        <v>30</v>
      </c>
      <c r="R29" s="159">
        <f>365910.34+49382.99</f>
        <v>415293.33</v>
      </c>
      <c r="S29" s="159">
        <v>49382.99</v>
      </c>
      <c r="T29" s="16">
        <f t="shared" si="1"/>
        <v>49382.99</v>
      </c>
      <c r="U29" s="159" t="e">
        <f>#REF!+T29</f>
        <v>#REF!</v>
      </c>
      <c r="V29" s="160" t="s">
        <v>31</v>
      </c>
      <c r="Y29" s="150"/>
      <c r="Z29" s="150"/>
      <c r="AL29" s="150"/>
    </row>
    <row r="30" spans="1:38" s="20" customFormat="1" ht="53.6">
      <c r="A30" s="19" t="s">
        <v>161</v>
      </c>
      <c r="B30" s="19" t="s">
        <v>160</v>
      </c>
      <c r="C30" s="19">
        <v>0</v>
      </c>
      <c r="D30" s="159">
        <v>0</v>
      </c>
      <c r="E30" s="159">
        <v>0</v>
      </c>
      <c r="F30" s="159">
        <v>0</v>
      </c>
      <c r="G30" s="19" t="s">
        <v>42</v>
      </c>
      <c r="H30" s="19" t="s">
        <v>43</v>
      </c>
      <c r="I30" s="17" t="s">
        <v>159</v>
      </c>
      <c r="J30" s="35">
        <v>44162</v>
      </c>
      <c r="K30" s="17">
        <v>790</v>
      </c>
      <c r="L30" s="159">
        <v>1704583.5</v>
      </c>
      <c r="M30" s="35">
        <f t="shared" si="0"/>
        <v>44952</v>
      </c>
      <c r="N30" s="17">
        <v>0</v>
      </c>
      <c r="O30" s="159">
        <v>0</v>
      </c>
      <c r="P30" s="159">
        <v>0</v>
      </c>
      <c r="Q30" s="17" t="s">
        <v>30</v>
      </c>
      <c r="R30" s="159">
        <f>754669.18+111521.96</f>
        <v>866191.14</v>
      </c>
      <c r="S30" s="159">
        <f>111521.96+57116.64</f>
        <v>168638.6</v>
      </c>
      <c r="T30" s="16">
        <f t="shared" si="1"/>
        <v>168638.6</v>
      </c>
      <c r="U30" s="159" t="e">
        <f>#REF!+T30</f>
        <v>#REF!</v>
      </c>
      <c r="V30" s="160" t="s">
        <v>31</v>
      </c>
      <c r="Y30" s="150"/>
      <c r="Z30" s="150"/>
      <c r="AL30" s="150"/>
    </row>
    <row r="31" spans="1:38" s="20" customFormat="1" ht="21.45">
      <c r="A31" s="19" t="s">
        <v>164</v>
      </c>
      <c r="B31" s="19" t="s">
        <v>163</v>
      </c>
      <c r="C31" s="19">
        <v>0</v>
      </c>
      <c r="D31" s="159">
        <v>0</v>
      </c>
      <c r="E31" s="159">
        <v>0</v>
      </c>
      <c r="F31" s="159">
        <v>0</v>
      </c>
      <c r="G31" s="19" t="s">
        <v>107</v>
      </c>
      <c r="H31" s="19" t="s">
        <v>108</v>
      </c>
      <c r="I31" s="17" t="s">
        <v>162</v>
      </c>
      <c r="J31" s="35">
        <v>44168</v>
      </c>
      <c r="K31" s="17">
        <v>1125</v>
      </c>
      <c r="L31" s="159">
        <v>16571981.609999999</v>
      </c>
      <c r="M31" s="35">
        <f t="shared" si="0"/>
        <v>45293</v>
      </c>
      <c r="N31" s="17">
        <v>0</v>
      </c>
      <c r="O31" s="159">
        <v>0</v>
      </c>
      <c r="P31" s="159">
        <v>3759599.49</v>
      </c>
      <c r="Q31" s="17" t="s">
        <v>30</v>
      </c>
      <c r="R31" s="159">
        <f>5519851.75+1462517.9</f>
        <v>6982369.6500000004</v>
      </c>
      <c r="S31" s="159">
        <v>1462517.9</v>
      </c>
      <c r="T31" s="16">
        <f t="shared" si="1"/>
        <v>1462517.9</v>
      </c>
      <c r="U31" s="159" t="e">
        <f>#REF!+T31</f>
        <v>#REF!</v>
      </c>
      <c r="V31" s="160" t="s">
        <v>31</v>
      </c>
      <c r="Y31" s="150"/>
      <c r="Z31" s="150"/>
      <c r="AL31" s="150"/>
    </row>
    <row r="32" spans="1:38" s="20" customFormat="1" ht="32.15">
      <c r="A32" s="19" t="s">
        <v>249</v>
      </c>
      <c r="B32" s="19" t="s">
        <v>271</v>
      </c>
      <c r="C32" s="19">
        <v>0</v>
      </c>
      <c r="D32" s="159">
        <v>0</v>
      </c>
      <c r="E32" s="159">
        <v>0</v>
      </c>
      <c r="F32" s="159">
        <v>0</v>
      </c>
      <c r="G32" s="19" t="s">
        <v>32</v>
      </c>
      <c r="H32" s="19" t="s">
        <v>195</v>
      </c>
      <c r="I32" s="17" t="s">
        <v>255</v>
      </c>
      <c r="J32" s="35">
        <v>44491</v>
      </c>
      <c r="K32" s="17">
        <v>90</v>
      </c>
      <c r="L32" s="159">
        <v>91995.11</v>
      </c>
      <c r="M32" s="35">
        <f t="shared" si="0"/>
        <v>44581</v>
      </c>
      <c r="N32" s="17">
        <v>0</v>
      </c>
      <c r="O32" s="159">
        <v>0</v>
      </c>
      <c r="P32" s="159">
        <v>0</v>
      </c>
      <c r="Q32" s="17" t="s">
        <v>30</v>
      </c>
      <c r="R32" s="159">
        <v>91995.11</v>
      </c>
      <c r="S32" s="159"/>
      <c r="T32" s="16">
        <f t="shared" si="1"/>
        <v>0</v>
      </c>
      <c r="U32" s="159" t="e">
        <f>#REF!+T32</f>
        <v>#REF!</v>
      </c>
      <c r="V32" s="160" t="s">
        <v>31</v>
      </c>
      <c r="X32" s="42"/>
      <c r="Y32" s="150"/>
      <c r="Z32" s="150"/>
      <c r="AL32" s="150"/>
    </row>
    <row r="33" spans="1:38" s="20" customFormat="1" ht="32.15">
      <c r="A33" s="19" t="s">
        <v>170</v>
      </c>
      <c r="B33" s="19" t="s">
        <v>171</v>
      </c>
      <c r="C33" s="19">
        <v>0</v>
      </c>
      <c r="D33" s="159">
        <v>0</v>
      </c>
      <c r="E33" s="159">
        <v>0</v>
      </c>
      <c r="F33" s="159">
        <v>0</v>
      </c>
      <c r="G33" s="19" t="s">
        <v>95</v>
      </c>
      <c r="H33" s="19" t="s">
        <v>172</v>
      </c>
      <c r="I33" s="17" t="s">
        <v>173</v>
      </c>
      <c r="J33" s="35">
        <v>44204</v>
      </c>
      <c r="K33" s="17">
        <v>1125</v>
      </c>
      <c r="L33" s="159">
        <v>17543900.190000001</v>
      </c>
      <c r="M33" s="35">
        <f t="shared" ref="M33:M85" si="2">J33+K33+N33</f>
        <v>45329</v>
      </c>
      <c r="N33" s="17">
        <v>0</v>
      </c>
      <c r="O33" s="159">
        <v>713682.3</v>
      </c>
      <c r="P33" s="159">
        <v>0</v>
      </c>
      <c r="Q33" s="17" t="s">
        <v>30</v>
      </c>
      <c r="R33" s="159">
        <f>4733772.91+1011036.82</f>
        <v>5744809.7300000004</v>
      </c>
      <c r="S33" s="159">
        <v>1011036.82</v>
      </c>
      <c r="T33" s="16">
        <f t="shared" ref="T33:T85" si="3">S33</f>
        <v>1011036.82</v>
      </c>
      <c r="U33" s="159" t="e">
        <f>#REF!+T33</f>
        <v>#REF!</v>
      </c>
      <c r="V33" s="160" t="s">
        <v>31</v>
      </c>
      <c r="X33" s="42"/>
      <c r="Y33" s="150"/>
      <c r="Z33" s="150"/>
      <c r="AL33" s="150"/>
    </row>
    <row r="34" spans="1:38" s="20" customFormat="1" ht="32.15">
      <c r="A34" s="19" t="s">
        <v>193</v>
      </c>
      <c r="B34" s="19" t="s">
        <v>194</v>
      </c>
      <c r="C34" s="19">
        <v>0</v>
      </c>
      <c r="D34" s="159">
        <v>0</v>
      </c>
      <c r="E34" s="159">
        <v>0</v>
      </c>
      <c r="F34" s="159">
        <v>0</v>
      </c>
      <c r="G34" s="19" t="s">
        <v>32</v>
      </c>
      <c r="H34" s="19" t="s">
        <v>195</v>
      </c>
      <c r="I34" s="17" t="s">
        <v>196</v>
      </c>
      <c r="J34" s="35">
        <v>44246</v>
      </c>
      <c r="K34" s="17">
        <v>365</v>
      </c>
      <c r="L34" s="159">
        <v>159999.96</v>
      </c>
      <c r="M34" s="35">
        <f t="shared" si="2"/>
        <v>44701</v>
      </c>
      <c r="N34" s="17">
        <f>0+90</f>
        <v>90</v>
      </c>
      <c r="O34" s="159">
        <v>39425.78</v>
      </c>
      <c r="P34" s="159">
        <v>0</v>
      </c>
      <c r="Q34" s="17" t="s">
        <v>30</v>
      </c>
      <c r="R34" s="159">
        <f>151137.85+33487.69</f>
        <v>184625.54</v>
      </c>
      <c r="S34" s="159">
        <v>33487.69</v>
      </c>
      <c r="T34" s="16">
        <f t="shared" si="3"/>
        <v>33487.69</v>
      </c>
      <c r="U34" s="159" t="e">
        <f>#REF!+T34</f>
        <v>#REF!</v>
      </c>
      <c r="V34" s="160" t="s">
        <v>31</v>
      </c>
      <c r="X34" s="42"/>
      <c r="Y34" s="150"/>
      <c r="Z34" s="150"/>
      <c r="AL34" s="150"/>
    </row>
    <row r="35" spans="1:38" s="20" customFormat="1" ht="42.9">
      <c r="A35" s="19" t="s">
        <v>174</v>
      </c>
      <c r="B35" s="19" t="s">
        <v>175</v>
      </c>
      <c r="C35" s="19">
        <v>0</v>
      </c>
      <c r="D35" s="159">
        <v>0</v>
      </c>
      <c r="E35" s="159">
        <v>0</v>
      </c>
      <c r="F35" s="159">
        <v>0</v>
      </c>
      <c r="G35" s="19" t="s">
        <v>93</v>
      </c>
      <c r="H35" s="19" t="s">
        <v>94</v>
      </c>
      <c r="I35" s="17" t="s">
        <v>176</v>
      </c>
      <c r="J35" s="35">
        <v>44270</v>
      </c>
      <c r="K35" s="17">
        <v>790</v>
      </c>
      <c r="L35" s="159">
        <v>1459741.65</v>
      </c>
      <c r="M35" s="35">
        <f t="shared" si="2"/>
        <v>45060</v>
      </c>
      <c r="N35" s="17">
        <v>0</v>
      </c>
      <c r="O35" s="159">
        <f>143928.8+127985.06</f>
        <v>271913.86</v>
      </c>
      <c r="P35" s="159">
        <v>0</v>
      </c>
      <c r="Q35" s="17" t="s">
        <v>30</v>
      </c>
      <c r="R35" s="159">
        <f>652516.48+127874.2</f>
        <v>780390.67999999993</v>
      </c>
      <c r="S35" s="159">
        <v>127874.2</v>
      </c>
      <c r="T35" s="16">
        <f t="shared" si="3"/>
        <v>127874.2</v>
      </c>
      <c r="U35" s="159" t="e">
        <f>#REF!+T35</f>
        <v>#REF!</v>
      </c>
      <c r="V35" s="160" t="s">
        <v>31</v>
      </c>
      <c r="X35" s="42"/>
      <c r="Y35" s="150"/>
      <c r="Z35" s="150"/>
      <c r="AL35" s="150"/>
    </row>
    <row r="36" spans="1:38" s="20" customFormat="1" ht="42.9">
      <c r="A36" s="19" t="s">
        <v>174</v>
      </c>
      <c r="B36" s="19" t="s">
        <v>177</v>
      </c>
      <c r="C36" s="19">
        <v>0</v>
      </c>
      <c r="D36" s="159">
        <v>0</v>
      </c>
      <c r="E36" s="159">
        <v>0</v>
      </c>
      <c r="F36" s="159">
        <v>0</v>
      </c>
      <c r="G36" s="19" t="s">
        <v>93</v>
      </c>
      <c r="H36" s="19" t="s">
        <v>94</v>
      </c>
      <c r="I36" s="17" t="s">
        <v>178</v>
      </c>
      <c r="J36" s="35">
        <v>44270</v>
      </c>
      <c r="K36" s="17">
        <v>790</v>
      </c>
      <c r="L36" s="159">
        <v>1589764.85</v>
      </c>
      <c r="M36" s="35">
        <f t="shared" si="2"/>
        <v>45060</v>
      </c>
      <c r="N36" s="17">
        <v>0</v>
      </c>
      <c r="O36" s="159">
        <f>257092.4+80675.98</f>
        <v>337768.38</v>
      </c>
      <c r="P36" s="159">
        <v>0</v>
      </c>
      <c r="Q36" s="17" t="s">
        <v>30</v>
      </c>
      <c r="R36" s="159">
        <f>636145.63+129293.64</f>
        <v>765439.27</v>
      </c>
      <c r="S36" s="159">
        <v>129293.64</v>
      </c>
      <c r="T36" s="16">
        <f t="shared" si="3"/>
        <v>129293.64</v>
      </c>
      <c r="U36" s="159" t="e">
        <f>#REF!+T36</f>
        <v>#REF!</v>
      </c>
      <c r="V36" s="160" t="s">
        <v>31</v>
      </c>
      <c r="X36" s="42"/>
      <c r="Y36" s="150"/>
      <c r="Z36" s="150"/>
      <c r="AL36" s="150"/>
    </row>
    <row r="37" spans="1:38" s="20" customFormat="1" ht="42.9">
      <c r="A37" s="19" t="s">
        <v>174</v>
      </c>
      <c r="B37" s="19" t="s">
        <v>179</v>
      </c>
      <c r="C37" s="19">
        <v>0</v>
      </c>
      <c r="D37" s="159">
        <v>0</v>
      </c>
      <c r="E37" s="159">
        <v>0</v>
      </c>
      <c r="F37" s="159">
        <v>0</v>
      </c>
      <c r="G37" s="19" t="s">
        <v>93</v>
      </c>
      <c r="H37" s="19" t="s">
        <v>94</v>
      </c>
      <c r="I37" s="17" t="s">
        <v>180</v>
      </c>
      <c r="J37" s="35">
        <v>44270</v>
      </c>
      <c r="K37" s="17">
        <v>790</v>
      </c>
      <c r="L37" s="159">
        <v>1435226.94</v>
      </c>
      <c r="M37" s="35">
        <f t="shared" si="2"/>
        <v>45060</v>
      </c>
      <c r="N37" s="17">
        <v>0</v>
      </c>
      <c r="O37" s="159">
        <f>204478.8+137175.78</f>
        <v>341654.57999999996</v>
      </c>
      <c r="P37" s="159">
        <v>0</v>
      </c>
      <c r="Q37" s="17" t="s">
        <v>30</v>
      </c>
      <c r="R37" s="159">
        <f>561152.98+200198.65</f>
        <v>761351.63</v>
      </c>
      <c r="S37" s="159">
        <v>200198.65</v>
      </c>
      <c r="T37" s="16">
        <f t="shared" si="3"/>
        <v>200198.65</v>
      </c>
      <c r="U37" s="159" t="e">
        <f>#REF!+T37</f>
        <v>#REF!</v>
      </c>
      <c r="V37" s="160" t="s">
        <v>31</v>
      </c>
      <c r="X37" s="42"/>
      <c r="Y37" s="150"/>
      <c r="Z37" s="150"/>
      <c r="AL37" s="150"/>
    </row>
    <row r="38" spans="1:38" s="20" customFormat="1" ht="32.15">
      <c r="A38" s="19" t="s">
        <v>181</v>
      </c>
      <c r="B38" s="19" t="s">
        <v>182</v>
      </c>
      <c r="C38" s="19">
        <v>0</v>
      </c>
      <c r="D38" s="159">
        <v>0</v>
      </c>
      <c r="E38" s="159">
        <v>0</v>
      </c>
      <c r="F38" s="159">
        <v>0</v>
      </c>
      <c r="G38" s="19" t="s">
        <v>33</v>
      </c>
      <c r="H38" s="19" t="s">
        <v>92</v>
      </c>
      <c r="I38" s="17" t="s">
        <v>183</v>
      </c>
      <c r="J38" s="35">
        <v>44285</v>
      </c>
      <c r="K38" s="17">
        <v>760</v>
      </c>
      <c r="L38" s="159">
        <v>4242714.5</v>
      </c>
      <c r="M38" s="35">
        <f t="shared" si="2"/>
        <v>45045</v>
      </c>
      <c r="N38" s="17">
        <v>0</v>
      </c>
      <c r="O38" s="159">
        <v>0</v>
      </c>
      <c r="P38" s="159">
        <v>0</v>
      </c>
      <c r="Q38" s="17" t="s">
        <v>30</v>
      </c>
      <c r="R38" s="159">
        <v>629610.96</v>
      </c>
      <c r="S38" s="159"/>
      <c r="T38" s="16">
        <f t="shared" si="3"/>
        <v>0</v>
      </c>
      <c r="U38" s="159" t="e">
        <f>#REF!+T38</f>
        <v>#REF!</v>
      </c>
      <c r="V38" s="160" t="s">
        <v>31</v>
      </c>
      <c r="X38" s="42"/>
      <c r="Y38" s="150"/>
      <c r="Z38" s="150"/>
      <c r="AL38" s="150"/>
    </row>
    <row r="39" spans="1:38" s="20" customFormat="1" ht="32.15">
      <c r="A39" s="19" t="s">
        <v>181</v>
      </c>
      <c r="B39" s="19" t="s">
        <v>184</v>
      </c>
      <c r="C39" s="19">
        <v>0</v>
      </c>
      <c r="D39" s="159">
        <v>0</v>
      </c>
      <c r="E39" s="159">
        <v>0</v>
      </c>
      <c r="F39" s="159">
        <v>0</v>
      </c>
      <c r="G39" s="19" t="s">
        <v>107</v>
      </c>
      <c r="H39" s="19" t="s">
        <v>108</v>
      </c>
      <c r="I39" s="17" t="s">
        <v>185</v>
      </c>
      <c r="J39" s="35">
        <v>44285</v>
      </c>
      <c r="K39" s="17">
        <v>760</v>
      </c>
      <c r="L39" s="159">
        <v>5068725.74</v>
      </c>
      <c r="M39" s="35">
        <f t="shared" si="2"/>
        <v>45045</v>
      </c>
      <c r="N39" s="17">
        <v>0</v>
      </c>
      <c r="O39" s="159">
        <v>0</v>
      </c>
      <c r="P39" s="159">
        <f>765001.36</f>
        <v>765001.36</v>
      </c>
      <c r="Q39" s="17" t="s">
        <v>30</v>
      </c>
      <c r="R39" s="159">
        <f>1215079.73+39202.53</f>
        <v>1254282.26</v>
      </c>
      <c r="S39" s="159">
        <v>39202.53</v>
      </c>
      <c r="T39" s="16">
        <f t="shared" si="3"/>
        <v>39202.53</v>
      </c>
      <c r="U39" s="159" t="e">
        <f>#REF!+T39</f>
        <v>#REF!</v>
      </c>
      <c r="V39" s="160" t="s">
        <v>31</v>
      </c>
      <c r="X39" s="42"/>
      <c r="Y39" s="150"/>
      <c r="Z39" s="150"/>
      <c r="AL39" s="150"/>
    </row>
    <row r="40" spans="1:38" s="20" customFormat="1" ht="32.15">
      <c r="A40" s="19" t="s">
        <v>197</v>
      </c>
      <c r="B40" s="19" t="s">
        <v>186</v>
      </c>
      <c r="C40" s="19">
        <v>0</v>
      </c>
      <c r="D40" s="159">
        <v>0</v>
      </c>
      <c r="E40" s="159">
        <v>0</v>
      </c>
      <c r="F40" s="159">
        <v>0</v>
      </c>
      <c r="G40" s="19" t="s">
        <v>86</v>
      </c>
      <c r="H40" s="19" t="s">
        <v>47</v>
      </c>
      <c r="I40" s="17" t="s">
        <v>187</v>
      </c>
      <c r="J40" s="35">
        <v>44285</v>
      </c>
      <c r="K40" s="17">
        <v>760</v>
      </c>
      <c r="L40" s="159">
        <v>7317745.6200000001</v>
      </c>
      <c r="M40" s="35">
        <f t="shared" si="2"/>
        <v>45045</v>
      </c>
      <c r="N40" s="17">
        <v>0</v>
      </c>
      <c r="O40" s="159">
        <v>132982.70000000001</v>
      </c>
      <c r="P40" s="159">
        <f>0+1257436.68</f>
        <v>1257436.68</v>
      </c>
      <c r="Q40" s="17" t="s">
        <v>30</v>
      </c>
      <c r="R40" s="159">
        <v>901269.1</v>
      </c>
      <c r="S40" s="159"/>
      <c r="T40" s="16">
        <f t="shared" si="3"/>
        <v>0</v>
      </c>
      <c r="U40" s="159" t="e">
        <f>#REF!+T40</f>
        <v>#REF!</v>
      </c>
      <c r="V40" s="160" t="s">
        <v>31</v>
      </c>
      <c r="X40" s="42"/>
      <c r="Y40" s="150"/>
      <c r="Z40" s="150"/>
      <c r="AL40" s="150"/>
    </row>
    <row r="41" spans="1:38" s="20" customFormat="1" ht="32.15">
      <c r="A41" s="19" t="s">
        <v>197</v>
      </c>
      <c r="B41" s="19" t="s">
        <v>188</v>
      </c>
      <c r="C41" s="19">
        <v>0</v>
      </c>
      <c r="D41" s="159">
        <v>0</v>
      </c>
      <c r="E41" s="159">
        <v>0</v>
      </c>
      <c r="F41" s="159">
        <v>0</v>
      </c>
      <c r="G41" s="19" t="s">
        <v>33</v>
      </c>
      <c r="H41" s="19" t="s">
        <v>92</v>
      </c>
      <c r="I41" s="17" t="s">
        <v>189</v>
      </c>
      <c r="J41" s="35">
        <v>44285</v>
      </c>
      <c r="K41" s="17">
        <v>760</v>
      </c>
      <c r="L41" s="159">
        <v>6534905.3499999996</v>
      </c>
      <c r="M41" s="35">
        <f t="shared" si="2"/>
        <v>45045</v>
      </c>
      <c r="N41" s="17">
        <v>0</v>
      </c>
      <c r="O41" s="159">
        <v>0</v>
      </c>
      <c r="P41" s="159">
        <v>0</v>
      </c>
      <c r="Q41" s="17" t="s">
        <v>30</v>
      </c>
      <c r="R41" s="159">
        <f>1602256.67+326655.13</f>
        <v>1928911.7999999998</v>
      </c>
      <c r="S41" s="159">
        <v>326655.13</v>
      </c>
      <c r="T41" s="16">
        <f t="shared" si="3"/>
        <v>326655.13</v>
      </c>
      <c r="U41" s="159" t="e">
        <f>#REF!+T41</f>
        <v>#REF!</v>
      </c>
      <c r="V41" s="160" t="s">
        <v>31</v>
      </c>
      <c r="X41" s="42"/>
      <c r="Y41" s="150"/>
      <c r="Z41" s="150"/>
      <c r="AL41" s="150"/>
    </row>
    <row r="42" spans="1:38" s="20" customFormat="1" ht="32.15">
      <c r="A42" s="19" t="s">
        <v>198</v>
      </c>
      <c r="B42" s="19" t="s">
        <v>199</v>
      </c>
      <c r="C42" s="19">
        <v>0</v>
      </c>
      <c r="D42" s="159">
        <v>0</v>
      </c>
      <c r="E42" s="159">
        <v>0</v>
      </c>
      <c r="F42" s="159">
        <v>0</v>
      </c>
      <c r="G42" s="19" t="s">
        <v>200</v>
      </c>
      <c r="H42" s="19" t="s">
        <v>201</v>
      </c>
      <c r="I42" s="17" t="s">
        <v>202</v>
      </c>
      <c r="J42" s="35">
        <v>44354</v>
      </c>
      <c r="K42" s="17">
        <v>760</v>
      </c>
      <c r="L42" s="159">
        <v>1940544.76</v>
      </c>
      <c r="M42" s="35">
        <f t="shared" si="2"/>
        <v>45114</v>
      </c>
      <c r="N42" s="17">
        <v>0</v>
      </c>
      <c r="O42" s="159">
        <v>27154</v>
      </c>
      <c r="P42" s="159">
        <v>0</v>
      </c>
      <c r="Q42" s="17" t="s">
        <v>30</v>
      </c>
      <c r="R42" s="159">
        <f>334841.51+195586.83</f>
        <v>530428.34</v>
      </c>
      <c r="S42" s="159">
        <v>195586.83</v>
      </c>
      <c r="T42" s="16">
        <f t="shared" si="3"/>
        <v>195586.83</v>
      </c>
      <c r="U42" s="159" t="e">
        <f>#REF!+T42</f>
        <v>#REF!</v>
      </c>
      <c r="V42" s="160" t="s">
        <v>31</v>
      </c>
      <c r="W42" s="125"/>
      <c r="X42" s="42"/>
      <c r="Y42" s="150"/>
      <c r="Z42" s="150"/>
      <c r="AL42" s="150"/>
    </row>
    <row r="43" spans="1:38" s="20" customFormat="1" ht="32.15">
      <c r="A43" s="19" t="s">
        <v>203</v>
      </c>
      <c r="B43" s="19" t="s">
        <v>204</v>
      </c>
      <c r="C43" s="19">
        <v>0</v>
      </c>
      <c r="D43" s="159">
        <v>0</v>
      </c>
      <c r="E43" s="159">
        <v>0</v>
      </c>
      <c r="F43" s="159">
        <v>0</v>
      </c>
      <c r="G43" s="19" t="s">
        <v>36</v>
      </c>
      <c r="H43" s="19" t="s">
        <v>115</v>
      </c>
      <c r="I43" s="17" t="s">
        <v>205</v>
      </c>
      <c r="J43" s="35">
        <v>44347</v>
      </c>
      <c r="K43" s="17">
        <v>790</v>
      </c>
      <c r="L43" s="159">
        <v>3652773.14</v>
      </c>
      <c r="M43" s="35">
        <f t="shared" si="2"/>
        <v>45137</v>
      </c>
      <c r="N43" s="17">
        <v>0</v>
      </c>
      <c r="O43" s="159">
        <v>0</v>
      </c>
      <c r="P43" s="159">
        <v>0</v>
      </c>
      <c r="Q43" s="17" t="s">
        <v>30</v>
      </c>
      <c r="R43" s="159">
        <f>737352.38+293975.21</f>
        <v>1031327.5900000001</v>
      </c>
      <c r="S43" s="159">
        <v>293975.21000000002</v>
      </c>
      <c r="T43" s="16">
        <f t="shared" si="3"/>
        <v>293975.21000000002</v>
      </c>
      <c r="U43" s="159" t="e">
        <f>#REF!+T43</f>
        <v>#REF!</v>
      </c>
      <c r="V43" s="160" t="s">
        <v>31</v>
      </c>
      <c r="X43" s="42"/>
      <c r="Y43" s="150"/>
      <c r="Z43" s="150"/>
      <c r="AL43" s="150"/>
    </row>
    <row r="44" spans="1:38" s="20" customFormat="1" ht="32.15">
      <c r="A44" s="19" t="s">
        <v>234</v>
      </c>
      <c r="B44" s="19" t="s">
        <v>206</v>
      </c>
      <c r="C44" s="19">
        <v>0</v>
      </c>
      <c r="D44" s="159">
        <v>0</v>
      </c>
      <c r="E44" s="159">
        <v>0</v>
      </c>
      <c r="F44" s="159">
        <v>0</v>
      </c>
      <c r="G44" s="19" t="s">
        <v>208</v>
      </c>
      <c r="H44" s="19" t="s">
        <v>209</v>
      </c>
      <c r="I44" s="17" t="s">
        <v>207</v>
      </c>
      <c r="J44" s="35">
        <v>44363</v>
      </c>
      <c r="K44" s="17">
        <v>790</v>
      </c>
      <c r="L44" s="159">
        <v>8412130.0600000005</v>
      </c>
      <c r="M44" s="35">
        <f>J44+K44+N44</f>
        <v>45153</v>
      </c>
      <c r="N44" s="17">
        <v>0</v>
      </c>
      <c r="O44" s="159">
        <v>0</v>
      </c>
      <c r="P44" s="159">
        <v>0</v>
      </c>
      <c r="Q44" s="17" t="s">
        <v>30</v>
      </c>
      <c r="R44" s="159">
        <f>1458765.75+1002965.45</f>
        <v>2461731.2000000002</v>
      </c>
      <c r="S44" s="159">
        <v>1002965.45</v>
      </c>
      <c r="T44" s="16">
        <f>S44</f>
        <v>1002965.45</v>
      </c>
      <c r="U44" s="159" t="e">
        <f>#REF!+T44</f>
        <v>#REF!</v>
      </c>
      <c r="V44" s="160" t="s">
        <v>31</v>
      </c>
      <c r="X44" s="42"/>
      <c r="Y44" s="150"/>
      <c r="Z44" s="150"/>
      <c r="AL44" s="150"/>
    </row>
    <row r="45" spans="1:38" s="20" customFormat="1" ht="21.45">
      <c r="A45" s="19" t="s">
        <v>235</v>
      </c>
      <c r="B45" s="19" t="s">
        <v>211</v>
      </c>
      <c r="C45" s="19" t="s">
        <v>155</v>
      </c>
      <c r="D45" s="159" t="s">
        <v>109</v>
      </c>
      <c r="E45" s="159">
        <v>94508747.5</v>
      </c>
      <c r="F45" s="159">
        <v>0</v>
      </c>
      <c r="G45" s="19" t="s">
        <v>212</v>
      </c>
      <c r="H45" s="19" t="s">
        <v>213</v>
      </c>
      <c r="I45" s="17" t="s">
        <v>210</v>
      </c>
      <c r="J45" s="35">
        <v>44361</v>
      </c>
      <c r="K45" s="17">
        <v>790</v>
      </c>
      <c r="L45" s="159">
        <v>6770337.1399999997</v>
      </c>
      <c r="M45" s="35">
        <f t="shared" si="2"/>
        <v>45151</v>
      </c>
      <c r="N45" s="17">
        <v>0</v>
      </c>
      <c r="O45" s="159">
        <v>0</v>
      </c>
      <c r="P45" s="159">
        <v>0</v>
      </c>
      <c r="Q45" s="17" t="s">
        <v>30</v>
      </c>
      <c r="R45" s="159">
        <f>1198307.92+353867.82</f>
        <v>1552175.74</v>
      </c>
      <c r="S45" s="159">
        <v>353867.82</v>
      </c>
      <c r="T45" s="16">
        <f t="shared" si="3"/>
        <v>353867.82</v>
      </c>
      <c r="U45" s="159" t="e">
        <f>#REF!+T45</f>
        <v>#REF!</v>
      </c>
      <c r="V45" s="160" t="s">
        <v>31</v>
      </c>
      <c r="X45" s="42"/>
      <c r="Y45" s="150"/>
      <c r="Z45" s="150"/>
      <c r="AL45" s="150"/>
    </row>
    <row r="46" spans="1:38" s="20" customFormat="1" ht="42.9">
      <c r="A46" s="19" t="s">
        <v>215</v>
      </c>
      <c r="B46" s="19" t="s">
        <v>216</v>
      </c>
      <c r="C46" s="19" t="s">
        <v>273</v>
      </c>
      <c r="D46" s="159" t="s">
        <v>109</v>
      </c>
      <c r="E46" s="159">
        <v>113346677.56</v>
      </c>
      <c r="F46" s="159">
        <v>0</v>
      </c>
      <c r="G46" s="19" t="s">
        <v>83</v>
      </c>
      <c r="H46" s="19" t="s">
        <v>82</v>
      </c>
      <c r="I46" s="17" t="s">
        <v>214</v>
      </c>
      <c r="J46" s="35">
        <v>44365</v>
      </c>
      <c r="K46" s="17">
        <v>790</v>
      </c>
      <c r="L46" s="159">
        <v>6226475.1799999997</v>
      </c>
      <c r="M46" s="35">
        <f t="shared" si="2"/>
        <v>45155</v>
      </c>
      <c r="N46" s="17">
        <v>0</v>
      </c>
      <c r="O46" s="159">
        <v>0</v>
      </c>
      <c r="P46" s="159">
        <v>0</v>
      </c>
      <c r="Q46" s="17" t="s">
        <v>30</v>
      </c>
      <c r="R46" s="159">
        <f>1583013.48+558051.06</f>
        <v>2141064.54</v>
      </c>
      <c r="S46" s="159">
        <v>558051.06000000006</v>
      </c>
      <c r="T46" s="16">
        <f t="shared" si="3"/>
        <v>558051.06000000006</v>
      </c>
      <c r="U46" s="159" t="e">
        <f>#REF!+T46</f>
        <v>#REF!</v>
      </c>
      <c r="V46" s="160" t="s">
        <v>31</v>
      </c>
      <c r="X46" s="42"/>
      <c r="Y46" s="150"/>
      <c r="Z46" s="150"/>
      <c r="AL46" s="150"/>
    </row>
    <row r="47" spans="1:38" s="20" customFormat="1" ht="42.9">
      <c r="A47" s="19" t="s">
        <v>215</v>
      </c>
      <c r="B47" s="19" t="s">
        <v>216</v>
      </c>
      <c r="C47" s="19" t="s">
        <v>273</v>
      </c>
      <c r="D47" s="159" t="s">
        <v>109</v>
      </c>
      <c r="E47" s="159">
        <v>113346677.56</v>
      </c>
      <c r="F47" s="159">
        <v>0</v>
      </c>
      <c r="G47" s="19" t="s">
        <v>95</v>
      </c>
      <c r="H47" s="19" t="s">
        <v>96</v>
      </c>
      <c r="I47" s="17" t="s">
        <v>217</v>
      </c>
      <c r="J47" s="35">
        <v>44365</v>
      </c>
      <c r="K47" s="17">
        <v>790</v>
      </c>
      <c r="L47" s="159">
        <v>9358982.3300000001</v>
      </c>
      <c r="M47" s="35">
        <f t="shared" si="2"/>
        <v>45155</v>
      </c>
      <c r="N47" s="17">
        <v>0</v>
      </c>
      <c r="O47" s="159">
        <v>0</v>
      </c>
      <c r="P47" s="159">
        <v>0</v>
      </c>
      <c r="Q47" s="17" t="s">
        <v>30</v>
      </c>
      <c r="R47" s="159">
        <f>1577373.2+1640824.8</f>
        <v>3218198</v>
      </c>
      <c r="S47" s="159">
        <v>1640824.8</v>
      </c>
      <c r="T47" s="16">
        <f t="shared" si="3"/>
        <v>1640824.8</v>
      </c>
      <c r="U47" s="159" t="e">
        <f>#REF!+T47</f>
        <v>#REF!</v>
      </c>
      <c r="V47" s="160" t="s">
        <v>31</v>
      </c>
      <c r="X47" s="42"/>
      <c r="Y47" s="150"/>
      <c r="Z47" s="150"/>
      <c r="AL47" s="150"/>
    </row>
    <row r="48" spans="1:38" s="20" customFormat="1" ht="42.9">
      <c r="A48" s="19" t="s">
        <v>215</v>
      </c>
      <c r="B48" s="19" t="s">
        <v>216</v>
      </c>
      <c r="C48" s="19" t="s">
        <v>273</v>
      </c>
      <c r="D48" s="159" t="s">
        <v>109</v>
      </c>
      <c r="E48" s="159">
        <v>113346677.56</v>
      </c>
      <c r="F48" s="159">
        <v>0</v>
      </c>
      <c r="G48" s="19" t="s">
        <v>33</v>
      </c>
      <c r="H48" s="19" t="s">
        <v>92</v>
      </c>
      <c r="I48" s="17" t="s">
        <v>218</v>
      </c>
      <c r="J48" s="35">
        <v>44365</v>
      </c>
      <c r="K48" s="17">
        <v>790</v>
      </c>
      <c r="L48" s="159">
        <v>7403917.6600000001</v>
      </c>
      <c r="M48" s="35">
        <f t="shared" si="2"/>
        <v>45155</v>
      </c>
      <c r="N48" s="17">
        <v>0</v>
      </c>
      <c r="O48" s="159">
        <v>0</v>
      </c>
      <c r="P48" s="159">
        <v>0</v>
      </c>
      <c r="Q48" s="17" t="s">
        <v>30</v>
      </c>
      <c r="R48" s="159">
        <f>2273620.35+922043.14</f>
        <v>3195663.49</v>
      </c>
      <c r="S48" s="159">
        <v>922043.14</v>
      </c>
      <c r="T48" s="16">
        <f t="shared" si="3"/>
        <v>922043.14</v>
      </c>
      <c r="U48" s="159" t="e">
        <f>#REF!+T48</f>
        <v>#REF!</v>
      </c>
      <c r="V48" s="160" t="s">
        <v>31</v>
      </c>
      <c r="W48" s="45"/>
      <c r="X48" s="42"/>
      <c r="Y48" s="150"/>
      <c r="Z48" s="150"/>
      <c r="AL48" s="150"/>
    </row>
    <row r="49" spans="1:113" s="20" customFormat="1" ht="42.9">
      <c r="A49" s="19" t="s">
        <v>220</v>
      </c>
      <c r="B49" s="19" t="s">
        <v>221</v>
      </c>
      <c r="C49" s="19" t="s">
        <v>274</v>
      </c>
      <c r="D49" s="159" t="s">
        <v>123</v>
      </c>
      <c r="E49" s="159">
        <v>139865458.63</v>
      </c>
      <c r="F49" s="159">
        <v>0</v>
      </c>
      <c r="G49" s="19" t="s">
        <v>105</v>
      </c>
      <c r="H49" s="19" t="s">
        <v>106</v>
      </c>
      <c r="I49" s="17" t="s">
        <v>219</v>
      </c>
      <c r="J49" s="35">
        <v>44370</v>
      </c>
      <c r="K49" s="17">
        <v>760</v>
      </c>
      <c r="L49" s="159">
        <v>16439785.83</v>
      </c>
      <c r="M49" s="35">
        <f t="shared" si="2"/>
        <v>45130</v>
      </c>
      <c r="N49" s="17">
        <v>0</v>
      </c>
      <c r="O49" s="159">
        <v>0</v>
      </c>
      <c r="P49" s="159">
        <v>0</v>
      </c>
      <c r="Q49" s="17" t="s">
        <v>49</v>
      </c>
      <c r="R49" s="159">
        <v>4939448.38</v>
      </c>
      <c r="S49" s="159"/>
      <c r="T49" s="16">
        <f t="shared" si="3"/>
        <v>0</v>
      </c>
      <c r="U49" s="159" t="e">
        <f>#REF!+T49</f>
        <v>#REF!</v>
      </c>
      <c r="V49" s="160" t="s">
        <v>31</v>
      </c>
      <c r="X49" s="42"/>
      <c r="Y49" s="150"/>
      <c r="Z49" s="150"/>
      <c r="AL49" s="150"/>
    </row>
    <row r="50" spans="1:113" s="20" customFormat="1" ht="42.9">
      <c r="A50" s="19" t="s">
        <v>220</v>
      </c>
      <c r="B50" s="19" t="s">
        <v>223</v>
      </c>
      <c r="C50" s="19" t="s">
        <v>274</v>
      </c>
      <c r="D50" s="159" t="s">
        <v>123</v>
      </c>
      <c r="E50" s="159">
        <v>139865458.63</v>
      </c>
      <c r="F50" s="159">
        <v>0</v>
      </c>
      <c r="G50" s="19" t="s">
        <v>62</v>
      </c>
      <c r="H50" s="19" t="s">
        <v>272</v>
      </c>
      <c r="I50" s="17" t="s">
        <v>222</v>
      </c>
      <c r="J50" s="35">
        <v>44370</v>
      </c>
      <c r="K50" s="17">
        <v>760</v>
      </c>
      <c r="L50" s="159">
        <v>16994062.079999998</v>
      </c>
      <c r="M50" s="35">
        <f t="shared" si="2"/>
        <v>45130</v>
      </c>
      <c r="N50" s="17">
        <v>0</v>
      </c>
      <c r="O50" s="159">
        <v>1163076</v>
      </c>
      <c r="P50" s="159">
        <v>0</v>
      </c>
      <c r="Q50" s="17" t="s">
        <v>49</v>
      </c>
      <c r="R50" s="159">
        <f>7857481.44+2936462.14</f>
        <v>10793943.58</v>
      </c>
      <c r="S50" s="159">
        <f>1124458.74+1123200</f>
        <v>2247658.7400000002</v>
      </c>
      <c r="T50" s="16">
        <f t="shared" si="3"/>
        <v>2247658.7400000002</v>
      </c>
      <c r="U50" s="159" t="e">
        <f>#REF!+T50</f>
        <v>#REF!</v>
      </c>
      <c r="V50" s="160" t="s">
        <v>31</v>
      </c>
      <c r="X50" s="42"/>
      <c r="Y50" s="150"/>
      <c r="Z50" s="150"/>
      <c r="AL50" s="150"/>
    </row>
    <row r="51" spans="1:113" s="20" customFormat="1" ht="42.9">
      <c r="A51" s="19" t="s">
        <v>220</v>
      </c>
      <c r="B51" s="19" t="s">
        <v>225</v>
      </c>
      <c r="C51" s="19" t="s">
        <v>274</v>
      </c>
      <c r="D51" s="159" t="s">
        <v>123</v>
      </c>
      <c r="E51" s="159">
        <v>139865458.63</v>
      </c>
      <c r="F51" s="159">
        <v>0</v>
      </c>
      <c r="G51" s="19" t="s">
        <v>91</v>
      </c>
      <c r="H51" s="19" t="s">
        <v>146</v>
      </c>
      <c r="I51" s="17" t="s">
        <v>224</v>
      </c>
      <c r="J51" s="35">
        <v>44370</v>
      </c>
      <c r="K51" s="17">
        <v>760</v>
      </c>
      <c r="L51" s="159">
        <v>21157084.25</v>
      </c>
      <c r="M51" s="35">
        <f t="shared" si="2"/>
        <v>45130</v>
      </c>
      <c r="N51" s="17">
        <v>0</v>
      </c>
      <c r="O51" s="159">
        <v>4678660.8499999996</v>
      </c>
      <c r="P51" s="159">
        <v>0</v>
      </c>
      <c r="Q51" s="17" t="s">
        <v>49</v>
      </c>
      <c r="R51" s="159">
        <f>10638929.27+1981003.57</f>
        <v>12619932.84</v>
      </c>
      <c r="S51" s="159">
        <f>1602291.67+859008.7</f>
        <v>2461300.37</v>
      </c>
      <c r="T51" s="16">
        <f t="shared" si="3"/>
        <v>2461300.37</v>
      </c>
      <c r="U51" s="159" t="e">
        <f>#REF!+T51</f>
        <v>#REF!</v>
      </c>
      <c r="V51" s="160" t="s">
        <v>31</v>
      </c>
      <c r="X51" s="42"/>
      <c r="Y51" s="150"/>
      <c r="Z51" s="150"/>
      <c r="AL51" s="150"/>
    </row>
    <row r="52" spans="1:113" s="20" customFormat="1" ht="42.9">
      <c r="A52" s="19" t="s">
        <v>220</v>
      </c>
      <c r="B52" s="19" t="s">
        <v>229</v>
      </c>
      <c r="C52" s="19" t="s">
        <v>274</v>
      </c>
      <c r="D52" s="159" t="s">
        <v>123</v>
      </c>
      <c r="E52" s="159">
        <v>139865458.63</v>
      </c>
      <c r="F52" s="159">
        <v>0</v>
      </c>
      <c r="G52" s="19" t="s">
        <v>105</v>
      </c>
      <c r="H52" s="19" t="s">
        <v>106</v>
      </c>
      <c r="I52" s="17" t="s">
        <v>226</v>
      </c>
      <c r="J52" s="35">
        <v>44370</v>
      </c>
      <c r="K52" s="17">
        <v>760</v>
      </c>
      <c r="L52" s="159">
        <v>17242398.460000001</v>
      </c>
      <c r="M52" s="35">
        <f t="shared" si="2"/>
        <v>45130</v>
      </c>
      <c r="N52" s="17">
        <v>0</v>
      </c>
      <c r="O52" s="159">
        <v>0</v>
      </c>
      <c r="P52" s="159">
        <v>0</v>
      </c>
      <c r="Q52" s="17" t="s">
        <v>49</v>
      </c>
      <c r="R52" s="159">
        <f>4970577.09+280441.27</f>
        <v>5251018.3599999994</v>
      </c>
      <c r="S52" s="159">
        <v>280441.27</v>
      </c>
      <c r="T52" s="16">
        <f t="shared" si="3"/>
        <v>280441.27</v>
      </c>
      <c r="U52" s="159" t="e">
        <f>#REF!+T52</f>
        <v>#REF!</v>
      </c>
      <c r="V52" s="160" t="s">
        <v>31</v>
      </c>
      <c r="W52" s="42"/>
      <c r="X52" s="42"/>
      <c r="Y52" s="150"/>
      <c r="Z52" s="150"/>
      <c r="AL52" s="150"/>
    </row>
    <row r="53" spans="1:113" s="20" customFormat="1" ht="42.9">
      <c r="A53" s="19" t="s">
        <v>230</v>
      </c>
      <c r="B53" s="19" t="s">
        <v>231</v>
      </c>
      <c r="C53" s="19">
        <v>0</v>
      </c>
      <c r="D53" s="159">
        <v>0</v>
      </c>
      <c r="E53" s="159">
        <v>0</v>
      </c>
      <c r="F53" s="159">
        <v>0</v>
      </c>
      <c r="G53" s="19" t="s">
        <v>86</v>
      </c>
      <c r="H53" s="19" t="s">
        <v>47</v>
      </c>
      <c r="I53" s="17" t="s">
        <v>227</v>
      </c>
      <c r="J53" s="35">
        <v>44391</v>
      </c>
      <c r="K53" s="17">
        <v>790</v>
      </c>
      <c r="L53" s="159">
        <v>5538433.2699999996</v>
      </c>
      <c r="M53" s="35">
        <f t="shared" si="2"/>
        <v>45181</v>
      </c>
      <c r="N53" s="17">
        <v>0</v>
      </c>
      <c r="O53" s="159">
        <v>923983.58</v>
      </c>
      <c r="P53" s="159">
        <v>0</v>
      </c>
      <c r="Q53" s="17" t="s">
        <v>30</v>
      </c>
      <c r="R53" s="159">
        <f>467957.3+404668.85</f>
        <v>872626.14999999991</v>
      </c>
      <c r="S53" s="159">
        <v>404668.85</v>
      </c>
      <c r="T53" s="16">
        <f t="shared" si="3"/>
        <v>404668.85</v>
      </c>
      <c r="U53" s="159" t="e">
        <f>#REF!+T53</f>
        <v>#REF!</v>
      </c>
      <c r="V53" s="160" t="s">
        <v>31</v>
      </c>
      <c r="X53" s="42"/>
      <c r="Y53" s="150"/>
      <c r="Z53" s="150"/>
      <c r="AL53" s="150"/>
    </row>
    <row r="54" spans="1:113" s="20" customFormat="1" ht="42.9">
      <c r="A54" s="19" t="s">
        <v>230</v>
      </c>
      <c r="B54" s="19" t="s">
        <v>232</v>
      </c>
      <c r="C54" s="19">
        <v>0</v>
      </c>
      <c r="D54" s="159">
        <v>0</v>
      </c>
      <c r="E54" s="159">
        <v>0</v>
      </c>
      <c r="F54" s="159">
        <v>0</v>
      </c>
      <c r="G54" s="19" t="s">
        <v>136</v>
      </c>
      <c r="H54" s="19" t="s">
        <v>137</v>
      </c>
      <c r="I54" s="17" t="s">
        <v>228</v>
      </c>
      <c r="J54" s="35">
        <v>44391</v>
      </c>
      <c r="K54" s="17">
        <v>790</v>
      </c>
      <c r="L54" s="159">
        <v>6400029.5199999996</v>
      </c>
      <c r="M54" s="35">
        <f>J54+K54+N54</f>
        <v>45181</v>
      </c>
      <c r="N54" s="17">
        <v>0</v>
      </c>
      <c r="O54" s="159">
        <v>1321148.75</v>
      </c>
      <c r="P54" s="159">
        <v>0</v>
      </c>
      <c r="Q54" s="17" t="s">
        <v>30</v>
      </c>
      <c r="R54" s="159">
        <f>1196887.04+499134.57</f>
        <v>1696021.61</v>
      </c>
      <c r="S54" s="159">
        <f>148027.93+351106.64</f>
        <v>499134.57</v>
      </c>
      <c r="T54" s="16">
        <f>S54</f>
        <v>499134.57</v>
      </c>
      <c r="U54" s="159" t="e">
        <f>#REF!+T54</f>
        <v>#REF!</v>
      </c>
      <c r="V54" s="160" t="s">
        <v>31</v>
      </c>
      <c r="W54" s="128"/>
      <c r="X54" s="42"/>
      <c r="Y54" s="150"/>
      <c r="Z54" s="150"/>
      <c r="AL54" s="150"/>
    </row>
    <row r="55" spans="1:113" s="20" customFormat="1" ht="42.9">
      <c r="A55" s="19" t="s">
        <v>237</v>
      </c>
      <c r="B55" s="19" t="s">
        <v>236</v>
      </c>
      <c r="C55" s="19" t="s">
        <v>233</v>
      </c>
      <c r="D55" s="159" t="s">
        <v>109</v>
      </c>
      <c r="E55" s="159">
        <v>50000000</v>
      </c>
      <c r="F55" s="159">
        <v>0</v>
      </c>
      <c r="G55" s="19" t="s">
        <v>42</v>
      </c>
      <c r="H55" s="19" t="s">
        <v>43</v>
      </c>
      <c r="I55" s="17" t="s">
        <v>238</v>
      </c>
      <c r="J55" s="35">
        <v>44495</v>
      </c>
      <c r="K55" s="17">
        <v>395</v>
      </c>
      <c r="L55" s="159">
        <v>1048809.3999999999</v>
      </c>
      <c r="M55" s="35">
        <f t="shared" si="2"/>
        <v>44890</v>
      </c>
      <c r="N55" s="17">
        <v>0</v>
      </c>
      <c r="O55" s="159">
        <v>0</v>
      </c>
      <c r="P55" s="159">
        <v>0</v>
      </c>
      <c r="Q55" s="17" t="s">
        <v>49</v>
      </c>
      <c r="R55" s="159">
        <f>327136.12+149375.58</f>
        <v>476511.69999999995</v>
      </c>
      <c r="S55" s="159"/>
      <c r="T55" s="16">
        <f t="shared" si="3"/>
        <v>0</v>
      </c>
      <c r="U55" s="159" t="e">
        <f>#REF!+T55</f>
        <v>#REF!</v>
      </c>
      <c r="V55" s="160" t="s">
        <v>31</v>
      </c>
      <c r="X55" s="42"/>
      <c r="Y55" s="150"/>
      <c r="Z55" s="150"/>
      <c r="AL55" s="150"/>
    </row>
    <row r="56" spans="1:113" s="20" customFormat="1" ht="32.15">
      <c r="A56" s="19" t="s">
        <v>239</v>
      </c>
      <c r="B56" s="19" t="s">
        <v>240</v>
      </c>
      <c r="C56" s="19">
        <v>0</v>
      </c>
      <c r="D56" s="159">
        <v>0</v>
      </c>
      <c r="E56" s="159">
        <v>0</v>
      </c>
      <c r="F56" s="159">
        <v>0</v>
      </c>
      <c r="G56" s="19" t="s">
        <v>241</v>
      </c>
      <c r="H56" s="19" t="s">
        <v>242</v>
      </c>
      <c r="I56" s="17" t="s">
        <v>243</v>
      </c>
      <c r="J56" s="35">
        <v>44455</v>
      </c>
      <c r="K56" s="17">
        <v>455</v>
      </c>
      <c r="L56" s="159">
        <v>1460562.75</v>
      </c>
      <c r="M56" s="35">
        <f t="shared" si="2"/>
        <v>44910</v>
      </c>
      <c r="N56" s="17">
        <v>0</v>
      </c>
      <c r="O56" s="159">
        <f>63378.48+161823.91</f>
        <v>225202.39</v>
      </c>
      <c r="P56" s="159">
        <v>0</v>
      </c>
      <c r="Q56" s="17" t="s">
        <v>30</v>
      </c>
      <c r="R56" s="159">
        <f>350636.78+259258.04</f>
        <v>609894.82000000007</v>
      </c>
      <c r="S56" s="159">
        <v>259258.04</v>
      </c>
      <c r="T56" s="16">
        <f t="shared" si="3"/>
        <v>259258.04</v>
      </c>
      <c r="U56" s="159" t="e">
        <f>#REF!+T56</f>
        <v>#REF!</v>
      </c>
      <c r="V56" s="160" t="s">
        <v>31</v>
      </c>
      <c r="X56" s="42"/>
      <c r="Y56" s="150"/>
      <c r="Z56" s="150"/>
      <c r="AL56" s="150"/>
    </row>
    <row r="57" spans="1:113" s="20" customFormat="1" ht="32.15">
      <c r="A57" s="19" t="s">
        <v>254</v>
      </c>
      <c r="B57" s="19" t="s">
        <v>245</v>
      </c>
      <c r="C57" s="19">
        <v>0</v>
      </c>
      <c r="D57" s="159">
        <v>0</v>
      </c>
      <c r="E57" s="159">
        <v>0</v>
      </c>
      <c r="F57" s="159">
        <v>0</v>
      </c>
      <c r="G57" s="19" t="s">
        <v>33</v>
      </c>
      <c r="H57" s="19" t="s">
        <v>92</v>
      </c>
      <c r="I57" s="17" t="s">
        <v>244</v>
      </c>
      <c r="J57" s="35">
        <v>44516</v>
      </c>
      <c r="K57" s="17">
        <v>790</v>
      </c>
      <c r="L57" s="159">
        <v>4874717.78</v>
      </c>
      <c r="M57" s="35">
        <f t="shared" si="2"/>
        <v>45306</v>
      </c>
      <c r="N57" s="17">
        <v>0</v>
      </c>
      <c r="O57" s="159">
        <v>0</v>
      </c>
      <c r="P57" s="159"/>
      <c r="Q57" s="17" t="s">
        <v>30</v>
      </c>
      <c r="R57" s="159">
        <f>1148634.99+955134.58</f>
        <v>2103769.5699999998</v>
      </c>
      <c r="S57" s="159">
        <v>955134.58</v>
      </c>
      <c r="T57" s="16">
        <f t="shared" si="3"/>
        <v>955134.58</v>
      </c>
      <c r="U57" s="159" t="e">
        <f>#REF!+T57</f>
        <v>#REF!</v>
      </c>
      <c r="V57" s="160" t="s">
        <v>31</v>
      </c>
      <c r="X57" s="42"/>
      <c r="Y57" s="150"/>
      <c r="Z57" s="150"/>
      <c r="AL57" s="150"/>
    </row>
    <row r="58" spans="1:113" s="20" customFormat="1" ht="21.45">
      <c r="A58" s="19" t="s">
        <v>246</v>
      </c>
      <c r="B58" s="19" t="s">
        <v>247</v>
      </c>
      <c r="C58" s="19">
        <v>0</v>
      </c>
      <c r="D58" s="159">
        <v>0</v>
      </c>
      <c r="E58" s="159">
        <v>0</v>
      </c>
      <c r="F58" s="159">
        <v>0</v>
      </c>
      <c r="G58" s="19" t="s">
        <v>46</v>
      </c>
      <c r="H58" s="19" t="s">
        <v>54</v>
      </c>
      <c r="I58" s="17" t="s">
        <v>248</v>
      </c>
      <c r="J58" s="35">
        <v>44469</v>
      </c>
      <c r="K58" s="17">
        <v>180</v>
      </c>
      <c r="L58" s="159">
        <v>76577831.530000001</v>
      </c>
      <c r="M58" s="35">
        <f t="shared" si="2"/>
        <v>44649</v>
      </c>
      <c r="N58" s="17">
        <v>0</v>
      </c>
      <c r="O58" s="159">
        <v>0</v>
      </c>
      <c r="P58" s="159">
        <v>4813284.33</v>
      </c>
      <c r="Q58" s="17" t="s">
        <v>30</v>
      </c>
      <c r="R58" s="159">
        <f>27436795.55+36634234.03</f>
        <v>64071029.579999998</v>
      </c>
      <c r="S58" s="159">
        <f>35837583.01+2574529.09</f>
        <v>38412112.099999994</v>
      </c>
      <c r="T58" s="16">
        <f t="shared" si="3"/>
        <v>38412112.099999994</v>
      </c>
      <c r="U58" s="159" t="e">
        <f>#REF!+T58</f>
        <v>#REF!</v>
      </c>
      <c r="V58" s="160" t="s">
        <v>31</v>
      </c>
      <c r="X58" s="184"/>
      <c r="Y58" s="151"/>
      <c r="Z58" s="151"/>
      <c r="AA58" s="185"/>
      <c r="AB58" s="185"/>
      <c r="AC58" s="185"/>
      <c r="AD58" s="185"/>
      <c r="AE58" s="185"/>
      <c r="AF58" s="185"/>
      <c r="AG58" s="185"/>
      <c r="AH58" s="185"/>
      <c r="AI58" s="185"/>
      <c r="AJ58" s="185"/>
      <c r="AK58" s="185"/>
      <c r="AL58" s="151"/>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row>
    <row r="59" spans="1:113" s="20" customFormat="1" ht="42.9">
      <c r="A59" s="19" t="s">
        <v>260</v>
      </c>
      <c r="B59" s="19" t="s">
        <v>268</v>
      </c>
      <c r="C59" s="19">
        <v>0</v>
      </c>
      <c r="D59" s="159">
        <v>0</v>
      </c>
      <c r="E59" s="159">
        <v>0</v>
      </c>
      <c r="F59" s="159">
        <v>0</v>
      </c>
      <c r="G59" s="19" t="s">
        <v>258</v>
      </c>
      <c r="H59" s="19" t="s">
        <v>257</v>
      </c>
      <c r="I59" s="17" t="s">
        <v>259</v>
      </c>
      <c r="J59" s="35">
        <v>44523</v>
      </c>
      <c r="K59" s="17">
        <v>60</v>
      </c>
      <c r="L59" s="159">
        <v>100000</v>
      </c>
      <c r="M59" s="35">
        <f t="shared" si="2"/>
        <v>44583</v>
      </c>
      <c r="N59" s="17">
        <v>0</v>
      </c>
      <c r="O59" s="159">
        <v>8966.94</v>
      </c>
      <c r="P59" s="159">
        <v>0</v>
      </c>
      <c r="Q59" s="17" t="s">
        <v>30</v>
      </c>
      <c r="R59" s="159">
        <f>99999.99+8966.94</f>
        <v>108966.93000000001</v>
      </c>
      <c r="S59" s="159">
        <v>45018.95</v>
      </c>
      <c r="T59" s="16">
        <f t="shared" si="3"/>
        <v>45018.95</v>
      </c>
      <c r="U59" s="159" t="e">
        <f>#REF!+T59</f>
        <v>#REF!</v>
      </c>
      <c r="V59" s="160" t="s">
        <v>190</v>
      </c>
      <c r="Y59" s="150"/>
      <c r="Z59" s="150"/>
      <c r="AL59" s="150"/>
    </row>
    <row r="60" spans="1:113" s="20" customFormat="1" ht="21.45">
      <c r="A60" s="19" t="s">
        <v>250</v>
      </c>
      <c r="B60" s="19" t="s">
        <v>251</v>
      </c>
      <c r="C60" s="19">
        <v>0</v>
      </c>
      <c r="D60" s="159">
        <v>0</v>
      </c>
      <c r="E60" s="159">
        <v>0</v>
      </c>
      <c r="F60" s="159">
        <v>0</v>
      </c>
      <c r="G60" s="19" t="s">
        <v>45</v>
      </c>
      <c r="H60" s="19" t="s">
        <v>59</v>
      </c>
      <c r="I60" s="17" t="s">
        <v>252</v>
      </c>
      <c r="J60" s="35">
        <v>44469</v>
      </c>
      <c r="K60" s="17">
        <v>180</v>
      </c>
      <c r="L60" s="159">
        <v>26846364.449999999</v>
      </c>
      <c r="M60" s="35">
        <f t="shared" si="2"/>
        <v>44649</v>
      </c>
      <c r="N60" s="17">
        <v>0</v>
      </c>
      <c r="O60" s="159">
        <v>0</v>
      </c>
      <c r="P60" s="159">
        <v>1905664.26</v>
      </c>
      <c r="Q60" s="17" t="s">
        <v>30</v>
      </c>
      <c r="R60" s="159">
        <f>12614972.37+9285354.63</f>
        <v>21900327</v>
      </c>
      <c r="S60" s="159">
        <f>8924053.94+208385.42</f>
        <v>9132439.3599999994</v>
      </c>
      <c r="T60" s="16">
        <f t="shared" si="3"/>
        <v>9132439.3599999994</v>
      </c>
      <c r="U60" s="159" t="e">
        <f>#REF!+T60</f>
        <v>#REF!</v>
      </c>
      <c r="V60" s="160" t="s">
        <v>31</v>
      </c>
      <c r="Y60" s="150"/>
      <c r="Z60" s="150"/>
      <c r="AL60" s="150"/>
    </row>
    <row r="61" spans="1:113" s="20" customFormat="1" ht="36" customHeight="1">
      <c r="A61" s="9" t="s">
        <v>359</v>
      </c>
      <c r="B61" s="14" t="s">
        <v>360</v>
      </c>
      <c r="C61" s="19"/>
      <c r="D61" s="159"/>
      <c r="E61" s="159"/>
      <c r="F61" s="159"/>
      <c r="G61" s="9" t="s">
        <v>35</v>
      </c>
      <c r="H61" s="14" t="s">
        <v>66</v>
      </c>
      <c r="I61" s="17" t="s">
        <v>361</v>
      </c>
      <c r="J61" s="35">
        <v>44530</v>
      </c>
      <c r="K61" s="17">
        <v>1920</v>
      </c>
      <c r="L61" s="164">
        <v>133146086.40000001</v>
      </c>
      <c r="M61" s="35">
        <f>J61+K61+N61</f>
        <v>46450</v>
      </c>
      <c r="N61" s="17">
        <v>0</v>
      </c>
      <c r="O61" s="159">
        <v>0</v>
      </c>
      <c r="P61" s="165">
        <v>6836727.5999999996</v>
      </c>
      <c r="Q61" s="17" t="s">
        <v>30</v>
      </c>
      <c r="R61" s="164">
        <v>345374.99</v>
      </c>
      <c r="S61" s="159">
        <v>345374.99</v>
      </c>
      <c r="T61" s="16">
        <f>S61</f>
        <v>345374.99</v>
      </c>
      <c r="U61" s="159" t="e">
        <f>#REF!+T61</f>
        <v>#REF!</v>
      </c>
      <c r="V61" s="160" t="s">
        <v>31</v>
      </c>
      <c r="X61" s="42"/>
      <c r="Y61" s="150"/>
      <c r="Z61" s="150"/>
      <c r="AL61" s="150"/>
    </row>
    <row r="62" spans="1:113" s="20" customFormat="1" ht="42.9">
      <c r="A62" s="19" t="s">
        <v>261</v>
      </c>
      <c r="B62" s="19" t="s">
        <v>267</v>
      </c>
      <c r="C62" s="19">
        <v>0</v>
      </c>
      <c r="D62" s="159">
        <v>0</v>
      </c>
      <c r="E62" s="159">
        <v>0</v>
      </c>
      <c r="F62" s="159">
        <v>0</v>
      </c>
      <c r="G62" s="19" t="s">
        <v>263</v>
      </c>
      <c r="H62" s="19" t="s">
        <v>264</v>
      </c>
      <c r="I62" s="17" t="s">
        <v>262</v>
      </c>
      <c r="J62" s="35">
        <v>44531</v>
      </c>
      <c r="K62" s="17">
        <v>760</v>
      </c>
      <c r="L62" s="159">
        <v>3696587.52</v>
      </c>
      <c r="M62" s="35">
        <f t="shared" si="2"/>
        <v>45291</v>
      </c>
      <c r="N62" s="17">
        <v>0</v>
      </c>
      <c r="O62" s="159">
        <v>0</v>
      </c>
      <c r="P62" s="159">
        <v>0</v>
      </c>
      <c r="Q62" s="17" t="s">
        <v>30</v>
      </c>
      <c r="R62" s="159">
        <f>31571.8+383797.25</f>
        <v>415369.05</v>
      </c>
      <c r="S62" s="159">
        <v>249788.94</v>
      </c>
      <c r="T62" s="16">
        <f t="shared" si="3"/>
        <v>249788.94</v>
      </c>
      <c r="U62" s="159" t="e">
        <f>#REF!+T62</f>
        <v>#REF!</v>
      </c>
      <c r="V62" s="160" t="s">
        <v>31</v>
      </c>
      <c r="Y62" s="150"/>
      <c r="Z62" s="150"/>
      <c r="AL62" s="150"/>
    </row>
    <row r="63" spans="1:113" s="20" customFormat="1" ht="42.9">
      <c r="A63" s="19" t="s">
        <v>261</v>
      </c>
      <c r="B63" s="19" t="s">
        <v>266</v>
      </c>
      <c r="C63" s="19">
        <v>0</v>
      </c>
      <c r="D63" s="159">
        <v>0</v>
      </c>
      <c r="E63" s="159">
        <v>0</v>
      </c>
      <c r="F63" s="159">
        <v>0</v>
      </c>
      <c r="G63" s="19" t="s">
        <v>263</v>
      </c>
      <c r="H63" s="19" t="s">
        <v>264</v>
      </c>
      <c r="I63" s="17" t="s">
        <v>265</v>
      </c>
      <c r="J63" s="35">
        <v>44532</v>
      </c>
      <c r="K63" s="17">
        <v>760</v>
      </c>
      <c r="L63" s="159">
        <v>3380477.52</v>
      </c>
      <c r="M63" s="35">
        <f t="shared" si="2"/>
        <v>45292</v>
      </c>
      <c r="N63" s="17">
        <v>0</v>
      </c>
      <c r="O63" s="159">
        <v>0</v>
      </c>
      <c r="P63" s="159">
        <v>0</v>
      </c>
      <c r="Q63" s="17" t="s">
        <v>30</v>
      </c>
      <c r="R63" s="159">
        <f>59569.46+362990.23</f>
        <v>422559.69</v>
      </c>
      <c r="S63" s="159">
        <v>222137</v>
      </c>
      <c r="T63" s="16">
        <f t="shared" si="3"/>
        <v>222137</v>
      </c>
      <c r="U63" s="159" t="e">
        <f>#REF!+T63</f>
        <v>#REF!</v>
      </c>
      <c r="V63" s="160" t="s">
        <v>31</v>
      </c>
      <c r="Y63" s="150"/>
      <c r="Z63" s="150"/>
      <c r="AL63" s="150"/>
    </row>
    <row r="64" spans="1:113" s="20" customFormat="1" ht="21.45">
      <c r="A64" s="14" t="s">
        <v>332</v>
      </c>
      <c r="B64" s="14" t="s">
        <v>333</v>
      </c>
      <c r="C64" s="19"/>
      <c r="D64" s="159"/>
      <c r="E64" s="159"/>
      <c r="F64" s="159"/>
      <c r="G64" s="9" t="s">
        <v>36</v>
      </c>
      <c r="H64" s="14" t="s">
        <v>115</v>
      </c>
      <c r="I64" s="17" t="s">
        <v>331</v>
      </c>
      <c r="J64" s="35">
        <v>44517</v>
      </c>
      <c r="K64" s="17">
        <v>90</v>
      </c>
      <c r="L64" s="164">
        <v>138202.17000000001</v>
      </c>
      <c r="M64" s="35">
        <f t="shared" si="2"/>
        <v>44607</v>
      </c>
      <c r="N64" s="17">
        <v>0</v>
      </c>
      <c r="O64" s="159">
        <v>0</v>
      </c>
      <c r="P64" s="159">
        <v>0</v>
      </c>
      <c r="Q64" s="17" t="s">
        <v>30</v>
      </c>
      <c r="R64" s="164">
        <v>117656.25</v>
      </c>
      <c r="S64" s="159">
        <v>117656.25</v>
      </c>
      <c r="T64" s="16">
        <f t="shared" si="3"/>
        <v>117656.25</v>
      </c>
      <c r="U64" s="159" t="e">
        <f>#REF!+T64</f>
        <v>#REF!</v>
      </c>
      <c r="V64" s="160" t="s">
        <v>31</v>
      </c>
      <c r="Y64" s="150"/>
      <c r="Z64" s="150"/>
      <c r="AL64" s="150"/>
    </row>
    <row r="65" spans="1:38" s="20" customFormat="1" ht="53.6">
      <c r="A65" s="14" t="s">
        <v>334</v>
      </c>
      <c r="B65" s="14" t="s">
        <v>339</v>
      </c>
      <c r="C65" s="19" t="s">
        <v>363</v>
      </c>
      <c r="D65" s="159" t="s">
        <v>362</v>
      </c>
      <c r="E65" s="159">
        <v>3820000</v>
      </c>
      <c r="F65" s="159">
        <v>8000</v>
      </c>
      <c r="G65" s="14" t="s">
        <v>336</v>
      </c>
      <c r="H65" s="14" t="s">
        <v>337</v>
      </c>
      <c r="I65" s="17" t="s">
        <v>335</v>
      </c>
      <c r="J65" s="35">
        <v>44456</v>
      </c>
      <c r="K65" s="17">
        <v>210</v>
      </c>
      <c r="L65" s="161">
        <v>2111167.85</v>
      </c>
      <c r="M65" s="35">
        <f t="shared" si="2"/>
        <v>44666</v>
      </c>
      <c r="N65" s="17">
        <v>0</v>
      </c>
      <c r="O65" s="159">
        <v>0</v>
      </c>
      <c r="P65" s="162">
        <v>-1342.84</v>
      </c>
      <c r="Q65" s="17" t="s">
        <v>49</v>
      </c>
      <c r="R65" s="159">
        <v>499606.08</v>
      </c>
      <c r="S65" s="159"/>
      <c r="T65" s="16">
        <f t="shared" si="3"/>
        <v>0</v>
      </c>
      <c r="U65" s="159" t="e">
        <f>#REF!+T65</f>
        <v>#REF!</v>
      </c>
      <c r="V65" s="160" t="s">
        <v>31</v>
      </c>
      <c r="Y65" s="150"/>
      <c r="Z65" s="150"/>
      <c r="AL65" s="150"/>
    </row>
    <row r="66" spans="1:38" s="20" customFormat="1" ht="53.6">
      <c r="A66" s="14" t="s">
        <v>334</v>
      </c>
      <c r="B66" s="14" t="s">
        <v>340</v>
      </c>
      <c r="C66" s="19" t="s">
        <v>363</v>
      </c>
      <c r="D66" s="159" t="s">
        <v>362</v>
      </c>
      <c r="E66" s="159">
        <v>3820000</v>
      </c>
      <c r="F66" s="159">
        <v>8000</v>
      </c>
      <c r="G66" s="14" t="s">
        <v>336</v>
      </c>
      <c r="H66" s="14" t="s">
        <v>337</v>
      </c>
      <c r="I66" s="17" t="s">
        <v>338</v>
      </c>
      <c r="J66" s="35">
        <v>44456</v>
      </c>
      <c r="K66" s="17">
        <v>180</v>
      </c>
      <c r="L66" s="161">
        <v>1022476.9</v>
      </c>
      <c r="M66" s="35">
        <f t="shared" si="2"/>
        <v>44726</v>
      </c>
      <c r="N66" s="17">
        <v>90</v>
      </c>
      <c r="O66" s="159">
        <v>0</v>
      </c>
      <c r="P66" s="163">
        <v>-817.52</v>
      </c>
      <c r="Q66" s="17" t="s">
        <v>49</v>
      </c>
      <c r="R66" s="159">
        <v>239052.4</v>
      </c>
      <c r="S66" s="159"/>
      <c r="T66" s="16">
        <f t="shared" ref="T66:T67" si="4">S66</f>
        <v>0</v>
      </c>
      <c r="U66" s="159" t="e">
        <f>#REF!+T66</f>
        <v>#REF!</v>
      </c>
      <c r="V66" s="160" t="s">
        <v>31</v>
      </c>
      <c r="Y66" s="150"/>
      <c r="Z66" s="150"/>
      <c r="AL66" s="150"/>
    </row>
    <row r="67" spans="1:38" s="20" customFormat="1" ht="32.15">
      <c r="A67" s="9" t="s">
        <v>359</v>
      </c>
      <c r="B67" s="14" t="s">
        <v>360</v>
      </c>
      <c r="C67" s="19"/>
      <c r="D67" s="159"/>
      <c r="E67" s="159"/>
      <c r="F67" s="159"/>
      <c r="G67" s="14" t="s">
        <v>35</v>
      </c>
      <c r="H67" s="14" t="s">
        <v>66</v>
      </c>
      <c r="I67" s="17" t="s">
        <v>361</v>
      </c>
      <c r="J67" s="35">
        <v>44530</v>
      </c>
      <c r="K67" s="17">
        <v>1920</v>
      </c>
      <c r="L67" s="161">
        <v>133146086.40000001</v>
      </c>
      <c r="M67" s="35">
        <f t="shared" si="2"/>
        <v>46450</v>
      </c>
      <c r="N67" s="17">
        <v>0</v>
      </c>
      <c r="O67" s="159">
        <v>0</v>
      </c>
      <c r="P67" s="165">
        <v>6836727.5999999996</v>
      </c>
      <c r="Q67" s="17" t="s">
        <v>30</v>
      </c>
      <c r="R67" s="159">
        <v>345374.99</v>
      </c>
      <c r="S67" s="159">
        <v>345374.99</v>
      </c>
      <c r="T67" s="16">
        <f t="shared" si="4"/>
        <v>345374.99</v>
      </c>
      <c r="U67" s="159" t="e">
        <f>#REF!+T67</f>
        <v>#REF!</v>
      </c>
      <c r="V67" s="160" t="s">
        <v>31</v>
      </c>
      <c r="X67" s="42"/>
      <c r="Y67" s="150"/>
      <c r="Z67" s="150"/>
      <c r="AL67" s="150"/>
    </row>
    <row r="68" spans="1:38" s="20" customFormat="1" ht="32.15">
      <c r="A68" s="14" t="s">
        <v>377</v>
      </c>
      <c r="B68" s="9" t="s">
        <v>378</v>
      </c>
      <c r="C68" s="19"/>
      <c r="D68" s="159"/>
      <c r="E68" s="159"/>
      <c r="F68" s="159"/>
      <c r="G68" s="14" t="s">
        <v>379</v>
      </c>
      <c r="H68" s="14" t="s">
        <v>169</v>
      </c>
      <c r="I68" s="17" t="s">
        <v>380</v>
      </c>
      <c r="J68" s="52">
        <v>44531</v>
      </c>
      <c r="K68" s="17">
        <v>1155</v>
      </c>
      <c r="L68" s="161">
        <v>6729243.9000000004</v>
      </c>
      <c r="M68" s="35">
        <f>J68+K68+N68</f>
        <v>45686</v>
      </c>
      <c r="N68" s="17">
        <v>0</v>
      </c>
      <c r="O68" s="159">
        <v>0</v>
      </c>
      <c r="P68" s="164">
        <f>P70-P61</f>
        <v>-6836727.5999999996</v>
      </c>
      <c r="Q68" s="17" t="s">
        <v>30</v>
      </c>
      <c r="R68" s="159">
        <v>0</v>
      </c>
      <c r="S68" s="159"/>
      <c r="T68" s="16">
        <f>S68</f>
        <v>0</v>
      </c>
      <c r="U68" s="159"/>
      <c r="V68" s="160" t="s">
        <v>31</v>
      </c>
      <c r="X68" s="42"/>
      <c r="Y68" s="150"/>
      <c r="Z68" s="150"/>
      <c r="AL68" s="150"/>
    </row>
    <row r="69" spans="1:38" s="20" customFormat="1" ht="63.9" customHeight="1">
      <c r="A69" s="9" t="s">
        <v>342</v>
      </c>
      <c r="B69" s="167" t="s">
        <v>343</v>
      </c>
      <c r="C69" s="169"/>
      <c r="D69" s="170"/>
      <c r="E69" s="170"/>
      <c r="F69" s="159"/>
      <c r="G69" s="14" t="s">
        <v>344</v>
      </c>
      <c r="H69" s="14" t="s">
        <v>345</v>
      </c>
      <c r="I69" s="17" t="s">
        <v>341</v>
      </c>
      <c r="J69" s="35">
        <v>44531</v>
      </c>
      <c r="K69" s="171">
        <v>1890</v>
      </c>
      <c r="L69" s="173">
        <v>39551349</v>
      </c>
      <c r="M69" s="172">
        <f t="shared" si="2"/>
        <v>46421</v>
      </c>
      <c r="N69" s="17">
        <v>0</v>
      </c>
      <c r="O69" s="159">
        <v>0</v>
      </c>
      <c r="P69" s="163"/>
      <c r="Q69" s="17" t="s">
        <v>30</v>
      </c>
      <c r="R69" s="159">
        <v>1340635.8899999999</v>
      </c>
      <c r="S69" s="170">
        <v>1340635.8899999999</v>
      </c>
      <c r="T69" s="174">
        <f t="shared" si="3"/>
        <v>1340635.8899999999</v>
      </c>
      <c r="U69" s="170" t="e">
        <f>#REF!+T69</f>
        <v>#REF!</v>
      </c>
      <c r="V69" s="175" t="s">
        <v>31</v>
      </c>
      <c r="Y69" s="150"/>
      <c r="Z69" s="150"/>
      <c r="AL69" s="150"/>
    </row>
    <row r="70" spans="1:38" s="20" customFormat="1" ht="47.25" customHeight="1">
      <c r="A70" s="14" t="s">
        <v>368</v>
      </c>
      <c r="B70" s="9" t="s">
        <v>369</v>
      </c>
      <c r="C70" s="19"/>
      <c r="D70" s="159"/>
      <c r="E70" s="159"/>
      <c r="F70" s="159"/>
      <c r="G70" s="14" t="s">
        <v>370</v>
      </c>
      <c r="H70" s="14" t="s">
        <v>371</v>
      </c>
      <c r="I70" s="17" t="s">
        <v>367</v>
      </c>
      <c r="J70" s="52">
        <v>44636</v>
      </c>
      <c r="K70" s="17">
        <v>90</v>
      </c>
      <c r="L70" s="161">
        <v>911954.77</v>
      </c>
      <c r="M70" s="35">
        <f>J70+K70+N70</f>
        <v>44726</v>
      </c>
      <c r="N70" s="17">
        <v>0</v>
      </c>
      <c r="O70" s="159">
        <v>0</v>
      </c>
      <c r="P70" s="159">
        <v>0</v>
      </c>
      <c r="Q70" s="17" t="s">
        <v>49</v>
      </c>
      <c r="R70" s="159">
        <v>0</v>
      </c>
      <c r="S70" s="159"/>
      <c r="T70" s="16">
        <f>S70</f>
        <v>0</v>
      </c>
      <c r="U70" s="159"/>
      <c r="V70" s="160" t="s">
        <v>31</v>
      </c>
      <c r="W70" s="45"/>
      <c r="X70" s="42"/>
      <c r="Y70" s="150"/>
      <c r="Z70" s="150"/>
      <c r="AL70" s="150"/>
    </row>
    <row r="71" spans="1:38" s="20" customFormat="1" ht="53.6">
      <c r="A71" s="176" t="s">
        <v>347</v>
      </c>
      <c r="B71" s="9" t="s">
        <v>348</v>
      </c>
      <c r="C71" s="177" t="s">
        <v>364</v>
      </c>
      <c r="D71" s="178" t="s">
        <v>362</v>
      </c>
      <c r="E71" s="178">
        <v>355737</v>
      </c>
      <c r="F71" s="159">
        <v>2000</v>
      </c>
      <c r="G71" s="14" t="s">
        <v>86</v>
      </c>
      <c r="H71" s="14" t="s">
        <v>349</v>
      </c>
      <c r="I71" s="17" t="s">
        <v>346</v>
      </c>
      <c r="J71" s="35">
        <v>44603</v>
      </c>
      <c r="K71" s="179">
        <v>150</v>
      </c>
      <c r="L71" s="181">
        <v>193107.81</v>
      </c>
      <c r="M71" s="180">
        <f t="shared" si="2"/>
        <v>44753</v>
      </c>
      <c r="N71" s="17">
        <v>0</v>
      </c>
      <c r="O71" s="159">
        <v>0</v>
      </c>
      <c r="P71" s="163"/>
      <c r="Q71" s="17" t="s">
        <v>49</v>
      </c>
      <c r="R71" s="161">
        <v>116856.68</v>
      </c>
      <c r="S71" s="178"/>
      <c r="T71" s="182">
        <f t="shared" si="3"/>
        <v>0</v>
      </c>
      <c r="U71" s="178" t="e">
        <f>#REF!+T71</f>
        <v>#REF!</v>
      </c>
      <c r="V71" s="183" t="s">
        <v>31</v>
      </c>
      <c r="Y71" s="150"/>
      <c r="Z71" s="150"/>
      <c r="AL71" s="150"/>
    </row>
    <row r="72" spans="1:38" s="20" customFormat="1" ht="53.6">
      <c r="A72" s="9" t="s">
        <v>347</v>
      </c>
      <c r="B72" s="14" t="s">
        <v>348</v>
      </c>
      <c r="C72" s="19" t="s">
        <v>364</v>
      </c>
      <c r="D72" s="159" t="s">
        <v>362</v>
      </c>
      <c r="E72" s="159">
        <v>355737</v>
      </c>
      <c r="F72" s="159">
        <v>2000</v>
      </c>
      <c r="G72" s="14" t="s">
        <v>86</v>
      </c>
      <c r="H72" s="14" t="s">
        <v>349</v>
      </c>
      <c r="I72" s="17" t="s">
        <v>350</v>
      </c>
      <c r="J72" s="35">
        <v>44603</v>
      </c>
      <c r="K72" s="17">
        <v>150</v>
      </c>
      <c r="L72" s="161">
        <v>119800.38</v>
      </c>
      <c r="M72" s="35">
        <f t="shared" si="2"/>
        <v>44753</v>
      </c>
      <c r="N72" s="17">
        <v>0</v>
      </c>
      <c r="O72" s="159">
        <v>0</v>
      </c>
      <c r="P72" s="163"/>
      <c r="Q72" s="17" t="s">
        <v>49</v>
      </c>
      <c r="R72" s="161">
        <v>5813.89</v>
      </c>
      <c r="S72" s="159"/>
      <c r="T72" s="16">
        <f t="shared" si="3"/>
        <v>0</v>
      </c>
      <c r="U72" s="159" t="e">
        <f>#REF!+T72</f>
        <v>#REF!</v>
      </c>
      <c r="V72" s="160" t="s">
        <v>31</v>
      </c>
      <c r="Y72" s="150"/>
      <c r="Z72" s="150"/>
      <c r="AL72" s="150"/>
    </row>
    <row r="73" spans="1:38" s="20" customFormat="1" ht="33.75" customHeight="1">
      <c r="A73" s="9" t="s">
        <v>372</v>
      </c>
      <c r="B73" s="14" t="s">
        <v>373</v>
      </c>
      <c r="C73" s="19"/>
      <c r="D73" s="159"/>
      <c r="E73" s="159"/>
      <c r="F73" s="159"/>
      <c r="G73" s="14" t="s">
        <v>374</v>
      </c>
      <c r="H73" s="14" t="s">
        <v>375</v>
      </c>
      <c r="I73" s="17" t="s">
        <v>376</v>
      </c>
      <c r="J73" s="52">
        <v>44615</v>
      </c>
      <c r="K73" s="17">
        <v>645</v>
      </c>
      <c r="L73" s="161">
        <v>9469419.6300000008</v>
      </c>
      <c r="M73" s="35">
        <f>J73+K73+N73</f>
        <v>45260</v>
      </c>
      <c r="N73" s="17">
        <v>0</v>
      </c>
      <c r="O73" s="159">
        <v>0</v>
      </c>
      <c r="P73" s="159">
        <v>0</v>
      </c>
      <c r="Q73" s="17" t="s">
        <v>49</v>
      </c>
      <c r="R73" s="159">
        <v>0</v>
      </c>
      <c r="S73" s="159"/>
      <c r="T73" s="16">
        <f>S73</f>
        <v>0</v>
      </c>
      <c r="U73" s="159"/>
      <c r="V73" s="160" t="s">
        <v>31</v>
      </c>
      <c r="X73" s="42"/>
      <c r="Y73" s="150"/>
      <c r="Z73" s="150"/>
      <c r="AL73" s="150"/>
    </row>
    <row r="74" spans="1:38" s="20" customFormat="1" ht="42.9">
      <c r="A74" s="14" t="s">
        <v>352</v>
      </c>
      <c r="B74" s="9" t="s">
        <v>353</v>
      </c>
      <c r="C74" s="19"/>
      <c r="D74" s="159"/>
      <c r="E74" s="159"/>
      <c r="F74" s="159"/>
      <c r="G74" s="14" t="s">
        <v>93</v>
      </c>
      <c r="H74" s="14" t="s">
        <v>94</v>
      </c>
      <c r="I74" s="17" t="s">
        <v>351</v>
      </c>
      <c r="J74" s="35">
        <v>44559</v>
      </c>
      <c r="K74" s="17">
        <v>150</v>
      </c>
      <c r="L74" s="161">
        <v>316211.92</v>
      </c>
      <c r="M74" s="35">
        <f t="shared" si="2"/>
        <v>44709</v>
      </c>
      <c r="N74" s="17">
        <v>0</v>
      </c>
      <c r="O74" s="159">
        <v>0</v>
      </c>
      <c r="P74" s="163"/>
      <c r="Q74" s="17" t="s">
        <v>30</v>
      </c>
      <c r="R74" s="161">
        <v>137321.59</v>
      </c>
      <c r="S74" s="159"/>
      <c r="T74" s="16">
        <f t="shared" si="3"/>
        <v>0</v>
      </c>
      <c r="U74" s="159" t="e">
        <f>#REF!+T74</f>
        <v>#REF!</v>
      </c>
      <c r="V74" s="160" t="s">
        <v>31</v>
      </c>
      <c r="Y74" s="150"/>
      <c r="Z74" s="150"/>
      <c r="AL74" s="150"/>
    </row>
    <row r="75" spans="1:38" s="20" customFormat="1" ht="42.9">
      <c r="A75" s="9" t="s">
        <v>354</v>
      </c>
      <c r="B75" s="14" t="s">
        <v>355</v>
      </c>
      <c r="C75" s="19" t="s">
        <v>233</v>
      </c>
      <c r="D75" s="159" t="s">
        <v>109</v>
      </c>
      <c r="E75" s="159">
        <v>50000000</v>
      </c>
      <c r="F75" s="159"/>
      <c r="G75" s="14" t="s">
        <v>356</v>
      </c>
      <c r="H75" s="9" t="s">
        <v>357</v>
      </c>
      <c r="I75" s="17" t="s">
        <v>358</v>
      </c>
      <c r="J75" s="35">
        <v>44559</v>
      </c>
      <c r="K75" s="17">
        <v>90</v>
      </c>
      <c r="L75" s="161">
        <v>279121.40999999997</v>
      </c>
      <c r="M75" s="35">
        <f t="shared" si="2"/>
        <v>44708</v>
      </c>
      <c r="N75" s="17">
        <v>59</v>
      </c>
      <c r="O75" s="159">
        <v>0</v>
      </c>
      <c r="P75" s="163"/>
      <c r="Q75" s="17" t="s">
        <v>49</v>
      </c>
      <c r="R75" s="159">
        <v>0</v>
      </c>
      <c r="S75" s="159"/>
      <c r="T75" s="16">
        <f t="shared" si="3"/>
        <v>0</v>
      </c>
      <c r="U75" s="159" t="e">
        <f>#REF!+T75</f>
        <v>#REF!</v>
      </c>
      <c r="V75" s="160" t="s">
        <v>31</v>
      </c>
      <c r="Y75" s="150"/>
      <c r="Z75" s="150"/>
      <c r="AL75" s="150"/>
    </row>
    <row r="76" spans="1:38" s="20" customFormat="1" ht="42.9">
      <c r="A76" s="14" t="s">
        <v>277</v>
      </c>
      <c r="B76" s="14" t="s">
        <v>278</v>
      </c>
      <c r="C76" s="19" t="s">
        <v>233</v>
      </c>
      <c r="D76" s="159" t="s">
        <v>109</v>
      </c>
      <c r="E76" s="159">
        <v>50000000</v>
      </c>
      <c r="F76" s="159"/>
      <c r="G76" s="14" t="s">
        <v>93</v>
      </c>
      <c r="H76" s="14" t="s">
        <v>94</v>
      </c>
      <c r="I76" s="17" t="s">
        <v>279</v>
      </c>
      <c r="J76" s="35">
        <v>44599</v>
      </c>
      <c r="K76" s="17">
        <v>150</v>
      </c>
      <c r="L76" s="161">
        <v>2245061.8199999998</v>
      </c>
      <c r="M76" s="35">
        <f t="shared" si="2"/>
        <v>44749</v>
      </c>
      <c r="N76" s="17">
        <v>0</v>
      </c>
      <c r="O76" s="159">
        <v>0</v>
      </c>
      <c r="P76" s="159">
        <v>0</v>
      </c>
      <c r="Q76" s="17" t="s">
        <v>49</v>
      </c>
      <c r="R76" s="159"/>
      <c r="S76" s="159"/>
      <c r="T76" s="16">
        <f t="shared" si="3"/>
        <v>0</v>
      </c>
      <c r="U76" s="159" t="e">
        <f>#REF!+T76</f>
        <v>#REF!</v>
      </c>
      <c r="V76" s="160" t="s">
        <v>31</v>
      </c>
      <c r="X76" s="42"/>
      <c r="Y76" s="150"/>
      <c r="Z76" s="150"/>
      <c r="AL76" s="150"/>
    </row>
    <row r="77" spans="1:38" s="20" customFormat="1" ht="32.15">
      <c r="A77" s="14" t="s">
        <v>280</v>
      </c>
      <c r="B77" s="14" t="s">
        <v>281</v>
      </c>
      <c r="C77" s="19"/>
      <c r="D77" s="159"/>
      <c r="E77" s="159"/>
      <c r="F77" s="159"/>
      <c r="G77" s="14" t="s">
        <v>93</v>
      </c>
      <c r="H77" s="14" t="s">
        <v>94</v>
      </c>
      <c r="I77" s="17" t="s">
        <v>282</v>
      </c>
      <c r="J77" s="35">
        <v>44589</v>
      </c>
      <c r="K77" s="17">
        <v>760</v>
      </c>
      <c r="L77" s="161">
        <v>1418802</v>
      </c>
      <c r="M77" s="35">
        <f t="shared" si="2"/>
        <v>45349</v>
      </c>
      <c r="N77" s="17">
        <v>0</v>
      </c>
      <c r="O77" s="164">
        <v>130967.16</v>
      </c>
      <c r="P77" s="159">
        <v>0</v>
      </c>
      <c r="Q77" s="17" t="s">
        <v>30</v>
      </c>
      <c r="R77" s="164">
        <v>33619.910000000003</v>
      </c>
      <c r="S77" s="159">
        <v>33619.910000000003</v>
      </c>
      <c r="T77" s="16">
        <f t="shared" si="3"/>
        <v>33619.910000000003</v>
      </c>
      <c r="U77" s="159" t="e">
        <f>#REF!+T77</f>
        <v>#REF!</v>
      </c>
      <c r="V77" s="160" t="s">
        <v>31</v>
      </c>
      <c r="X77" s="42"/>
      <c r="Y77" s="150"/>
      <c r="Z77" s="150"/>
      <c r="AL77" s="150"/>
    </row>
    <row r="78" spans="1:38" s="20" customFormat="1" ht="42.9">
      <c r="A78" s="14" t="s">
        <v>283</v>
      </c>
      <c r="B78" s="9" t="s">
        <v>284</v>
      </c>
      <c r="C78" s="19" t="s">
        <v>233</v>
      </c>
      <c r="D78" s="159" t="s">
        <v>109</v>
      </c>
      <c r="E78" s="159">
        <v>50000000</v>
      </c>
      <c r="F78" s="159"/>
      <c r="G78" s="14" t="s">
        <v>93</v>
      </c>
      <c r="H78" s="14" t="s">
        <v>94</v>
      </c>
      <c r="I78" s="17" t="s">
        <v>285</v>
      </c>
      <c r="J78" s="35">
        <v>44589</v>
      </c>
      <c r="K78" s="17">
        <v>760</v>
      </c>
      <c r="L78" s="164">
        <v>3730846.67</v>
      </c>
      <c r="M78" s="35">
        <f t="shared" si="2"/>
        <v>45349</v>
      </c>
      <c r="N78" s="17">
        <v>0</v>
      </c>
      <c r="O78" s="159">
        <v>0</v>
      </c>
      <c r="P78" s="159"/>
      <c r="Q78" s="17" t="s">
        <v>49</v>
      </c>
      <c r="R78" s="159"/>
      <c r="S78" s="159"/>
      <c r="T78" s="16">
        <f t="shared" si="3"/>
        <v>0</v>
      </c>
      <c r="U78" s="159" t="e">
        <f>#REF!+T78</f>
        <v>#REF!</v>
      </c>
      <c r="V78" s="160" t="s">
        <v>31</v>
      </c>
      <c r="X78" s="42"/>
      <c r="Y78" s="150"/>
      <c r="Z78" s="150"/>
      <c r="AL78" s="150"/>
    </row>
    <row r="79" spans="1:38" s="20" customFormat="1" ht="32.15">
      <c r="A79" s="19" t="s">
        <v>287</v>
      </c>
      <c r="B79" s="14" t="s">
        <v>288</v>
      </c>
      <c r="C79" s="19"/>
      <c r="D79" s="159"/>
      <c r="E79" s="159"/>
      <c r="F79" s="159"/>
      <c r="G79" s="14" t="s">
        <v>289</v>
      </c>
      <c r="H79" s="14" t="s">
        <v>290</v>
      </c>
      <c r="I79" s="17" t="s">
        <v>286</v>
      </c>
      <c r="J79" s="35">
        <v>44602</v>
      </c>
      <c r="K79" s="17">
        <v>60</v>
      </c>
      <c r="L79" s="161">
        <v>119999.98</v>
      </c>
      <c r="M79" s="35">
        <f t="shared" si="2"/>
        <v>44662</v>
      </c>
      <c r="N79" s="17">
        <v>0</v>
      </c>
      <c r="O79" s="159">
        <v>0</v>
      </c>
      <c r="P79" s="159"/>
      <c r="Q79" s="17" t="s">
        <v>49</v>
      </c>
      <c r="R79" s="159">
        <v>0</v>
      </c>
      <c r="S79" s="159"/>
      <c r="T79" s="16">
        <f t="shared" si="3"/>
        <v>0</v>
      </c>
      <c r="U79" s="159" t="e">
        <f>#REF!+T79</f>
        <v>#REF!</v>
      </c>
      <c r="V79" s="160" t="s">
        <v>291</v>
      </c>
      <c r="X79" s="42"/>
      <c r="Y79" s="150"/>
      <c r="Z79" s="150"/>
      <c r="AL79" s="150"/>
    </row>
    <row r="80" spans="1:38" s="20" customFormat="1" ht="42.9">
      <c r="A80" s="19" t="s">
        <v>292</v>
      </c>
      <c r="B80" s="9" t="s">
        <v>293</v>
      </c>
      <c r="C80" s="19"/>
      <c r="D80" s="159"/>
      <c r="E80" s="159"/>
      <c r="F80" s="159"/>
      <c r="G80" s="14" t="s">
        <v>295</v>
      </c>
      <c r="H80" s="14" t="s">
        <v>296</v>
      </c>
      <c r="I80" s="17" t="s">
        <v>294</v>
      </c>
      <c r="J80" s="35">
        <v>44606</v>
      </c>
      <c r="K80" s="17">
        <v>270</v>
      </c>
      <c r="L80" s="164">
        <v>493303.08</v>
      </c>
      <c r="M80" s="35">
        <f t="shared" si="2"/>
        <v>44876</v>
      </c>
      <c r="N80" s="17">
        <v>0</v>
      </c>
      <c r="O80" s="159">
        <v>0</v>
      </c>
      <c r="P80" s="159"/>
      <c r="Q80" s="17" t="s">
        <v>49</v>
      </c>
      <c r="R80" s="159">
        <v>0</v>
      </c>
      <c r="S80" s="159"/>
      <c r="T80" s="16">
        <f t="shared" si="3"/>
        <v>0</v>
      </c>
      <c r="U80" s="159" t="e">
        <f>#REF!+T80</f>
        <v>#REF!</v>
      </c>
      <c r="V80" s="160" t="s">
        <v>31</v>
      </c>
      <c r="X80" s="42"/>
      <c r="Y80" s="150"/>
      <c r="Z80" s="150"/>
      <c r="AL80" s="150"/>
    </row>
    <row r="81" spans="1:38" s="20" customFormat="1" ht="42.9">
      <c r="A81" s="9" t="s">
        <v>298</v>
      </c>
      <c r="B81" s="14" t="s">
        <v>299</v>
      </c>
      <c r="C81" s="19"/>
      <c r="D81" s="159"/>
      <c r="E81" s="159"/>
      <c r="F81" s="159"/>
      <c r="G81" s="14" t="s">
        <v>44</v>
      </c>
      <c r="H81" s="14" t="s">
        <v>300</v>
      </c>
      <c r="I81" s="17" t="s">
        <v>297</v>
      </c>
      <c r="J81" s="35">
        <v>44606</v>
      </c>
      <c r="K81" s="17">
        <v>395</v>
      </c>
      <c r="L81" s="161">
        <v>1392960</v>
      </c>
      <c r="M81" s="35">
        <f t="shared" si="2"/>
        <v>45001</v>
      </c>
      <c r="N81" s="17">
        <v>0</v>
      </c>
      <c r="O81" s="159">
        <v>0</v>
      </c>
      <c r="P81" s="159">
        <v>0</v>
      </c>
      <c r="Q81" s="17" t="s">
        <v>30</v>
      </c>
      <c r="R81" s="164">
        <v>203952.56</v>
      </c>
      <c r="S81" s="159">
        <v>203952.56</v>
      </c>
      <c r="T81" s="16">
        <f t="shared" si="3"/>
        <v>203952.56</v>
      </c>
      <c r="U81" s="159" t="e">
        <f>#REF!+T81</f>
        <v>#REF!</v>
      </c>
      <c r="V81" s="160" t="s">
        <v>31</v>
      </c>
      <c r="X81" s="42"/>
      <c r="Y81" s="150"/>
      <c r="Z81" s="150"/>
      <c r="AL81" s="150"/>
    </row>
    <row r="82" spans="1:38" s="20" customFormat="1" ht="42.9">
      <c r="A82" s="19" t="s">
        <v>302</v>
      </c>
      <c r="B82" s="9" t="s">
        <v>303</v>
      </c>
      <c r="C82" s="19" t="s">
        <v>233</v>
      </c>
      <c r="D82" s="159" t="s">
        <v>109</v>
      </c>
      <c r="E82" s="159">
        <v>50000000</v>
      </c>
      <c r="F82" s="159"/>
      <c r="G82" s="14" t="s">
        <v>42</v>
      </c>
      <c r="H82" s="14" t="s">
        <v>43</v>
      </c>
      <c r="I82" s="17" t="s">
        <v>301</v>
      </c>
      <c r="J82" s="35">
        <v>44610</v>
      </c>
      <c r="K82" s="17">
        <v>150</v>
      </c>
      <c r="L82" s="164">
        <v>811940.61</v>
      </c>
      <c r="M82" s="35">
        <f t="shared" si="2"/>
        <v>44760</v>
      </c>
      <c r="N82" s="17">
        <v>0</v>
      </c>
      <c r="O82" s="159">
        <v>0</v>
      </c>
      <c r="P82" s="159">
        <v>0</v>
      </c>
      <c r="Q82" s="17" t="s">
        <v>49</v>
      </c>
      <c r="R82" s="159">
        <v>0</v>
      </c>
      <c r="S82" s="159"/>
      <c r="T82" s="16">
        <f t="shared" si="3"/>
        <v>0</v>
      </c>
      <c r="U82" s="159" t="e">
        <f>#REF!+T82</f>
        <v>#REF!</v>
      </c>
      <c r="V82" s="160" t="s">
        <v>31</v>
      </c>
      <c r="X82" s="42"/>
      <c r="Y82" s="150"/>
      <c r="Z82" s="150"/>
      <c r="AL82" s="150"/>
    </row>
    <row r="83" spans="1:38" s="20" customFormat="1" ht="21.45">
      <c r="A83" s="14" t="s">
        <v>305</v>
      </c>
      <c r="B83" s="14" t="s">
        <v>306</v>
      </c>
      <c r="C83" s="19"/>
      <c r="D83" s="159"/>
      <c r="E83" s="159"/>
      <c r="F83" s="159"/>
      <c r="G83" s="14" t="s">
        <v>307</v>
      </c>
      <c r="H83" s="9" t="s">
        <v>308</v>
      </c>
      <c r="I83" s="17" t="s">
        <v>304</v>
      </c>
      <c r="J83" s="35">
        <v>44615</v>
      </c>
      <c r="K83" s="17">
        <v>180</v>
      </c>
      <c r="L83" s="161">
        <v>477968.09</v>
      </c>
      <c r="M83" s="35">
        <f t="shared" si="2"/>
        <v>44795</v>
      </c>
      <c r="N83" s="17">
        <v>0</v>
      </c>
      <c r="O83" s="159">
        <v>0</v>
      </c>
      <c r="P83" s="159">
        <v>0</v>
      </c>
      <c r="Q83" s="17" t="s">
        <v>49</v>
      </c>
      <c r="R83" s="164">
        <v>266723.90000000002</v>
      </c>
      <c r="S83" s="159">
        <v>266723.90000000002</v>
      </c>
      <c r="T83" s="16">
        <f t="shared" si="3"/>
        <v>266723.90000000002</v>
      </c>
      <c r="U83" s="159" t="e">
        <f>#REF!+T83</f>
        <v>#REF!</v>
      </c>
      <c r="V83" s="160" t="s">
        <v>31</v>
      </c>
      <c r="X83" s="42"/>
      <c r="Y83" s="150"/>
      <c r="Z83" s="150"/>
      <c r="AL83" s="150"/>
    </row>
    <row r="84" spans="1:38" s="20" customFormat="1" ht="53.6">
      <c r="A84" s="14" t="s">
        <v>310</v>
      </c>
      <c r="B84" s="9" t="s">
        <v>311</v>
      </c>
      <c r="C84" s="19" t="s">
        <v>365</v>
      </c>
      <c r="D84" s="159" t="s">
        <v>362</v>
      </c>
      <c r="E84" s="159">
        <v>767341</v>
      </c>
      <c r="F84" s="159">
        <v>8000</v>
      </c>
      <c r="G84" s="14" t="s">
        <v>307</v>
      </c>
      <c r="H84" s="14" t="s">
        <v>308</v>
      </c>
      <c r="I84" s="17" t="s">
        <v>309</v>
      </c>
      <c r="J84" s="35">
        <v>44630</v>
      </c>
      <c r="K84" s="17">
        <v>180</v>
      </c>
      <c r="L84" s="164">
        <v>730428.03</v>
      </c>
      <c r="M84" s="35">
        <f t="shared" si="2"/>
        <v>44810</v>
      </c>
      <c r="N84" s="17">
        <v>0</v>
      </c>
      <c r="O84" s="159">
        <v>0</v>
      </c>
      <c r="P84" s="159">
        <v>0</v>
      </c>
      <c r="Q84" s="17" t="s">
        <v>49</v>
      </c>
      <c r="R84" s="159">
        <v>0</v>
      </c>
      <c r="S84" s="159"/>
      <c r="T84" s="16">
        <f t="shared" si="3"/>
        <v>0</v>
      </c>
      <c r="U84" s="159" t="e">
        <f>#REF!+T84</f>
        <v>#REF!</v>
      </c>
      <c r="V84" s="160" t="s">
        <v>291</v>
      </c>
      <c r="X84" s="42"/>
      <c r="Y84" s="150"/>
      <c r="Z84" s="150"/>
      <c r="AL84" s="150"/>
    </row>
    <row r="85" spans="1:38" s="20" customFormat="1" ht="42.9">
      <c r="A85" s="19" t="s">
        <v>313</v>
      </c>
      <c r="B85" s="14" t="s">
        <v>314</v>
      </c>
      <c r="C85" s="19"/>
      <c r="D85" s="159"/>
      <c r="E85" s="159"/>
      <c r="F85" s="159"/>
      <c r="G85" s="166" t="s">
        <v>315</v>
      </c>
      <c r="H85" s="14" t="s">
        <v>77</v>
      </c>
      <c r="I85" s="17" t="s">
        <v>312</v>
      </c>
      <c r="J85" s="35">
        <v>44635</v>
      </c>
      <c r="K85" s="17">
        <v>1890</v>
      </c>
      <c r="L85" s="161">
        <v>28992600</v>
      </c>
      <c r="M85" s="35">
        <f t="shared" si="2"/>
        <v>46525</v>
      </c>
      <c r="N85" s="17">
        <v>0</v>
      </c>
      <c r="O85" s="159">
        <v>0</v>
      </c>
      <c r="P85" s="159">
        <v>0</v>
      </c>
      <c r="Q85" s="17" t="s">
        <v>30</v>
      </c>
      <c r="R85" s="159">
        <v>0</v>
      </c>
      <c r="S85" s="159"/>
      <c r="T85" s="16">
        <f t="shared" si="3"/>
        <v>0</v>
      </c>
      <c r="U85" s="159" t="e">
        <f>#REF!+T85</f>
        <v>#REF!</v>
      </c>
      <c r="V85" s="160" t="s">
        <v>31</v>
      </c>
      <c r="X85" s="42"/>
      <c r="Y85" s="150"/>
      <c r="Z85" s="150"/>
      <c r="AL85" s="150"/>
    </row>
    <row r="86" spans="1:38" s="20" customFormat="1" ht="53.6">
      <c r="A86" s="14" t="s">
        <v>310</v>
      </c>
      <c r="B86" s="9" t="s">
        <v>317</v>
      </c>
      <c r="C86" s="19"/>
      <c r="D86" s="159" t="s">
        <v>366</v>
      </c>
      <c r="E86" s="159">
        <v>3139993</v>
      </c>
      <c r="F86" s="159"/>
      <c r="G86" s="14" t="s">
        <v>212</v>
      </c>
      <c r="H86" s="14" t="s">
        <v>213</v>
      </c>
      <c r="I86" s="17" t="s">
        <v>316</v>
      </c>
      <c r="J86" s="35">
        <v>44650</v>
      </c>
      <c r="K86" s="17">
        <v>150</v>
      </c>
      <c r="L86" s="164">
        <v>789983.51</v>
      </c>
      <c r="M86" s="35">
        <f t="shared" ref="M86:M91" si="5">J86+K86+N86</f>
        <v>44800</v>
      </c>
      <c r="N86" s="17">
        <v>0</v>
      </c>
      <c r="O86" s="159">
        <v>0</v>
      </c>
      <c r="P86" s="159">
        <v>0</v>
      </c>
      <c r="Q86" s="17" t="s">
        <v>49</v>
      </c>
      <c r="R86" s="159">
        <v>0</v>
      </c>
      <c r="S86" s="159"/>
      <c r="T86" s="16">
        <f t="shared" ref="T86:T91" si="6">S86</f>
        <v>0</v>
      </c>
      <c r="U86" s="159" t="e">
        <f>#REF!+T86</f>
        <v>#REF!</v>
      </c>
      <c r="V86" s="160" t="s">
        <v>31</v>
      </c>
      <c r="X86" s="42"/>
      <c r="Y86" s="150"/>
      <c r="Z86" s="150"/>
      <c r="AL86" s="150"/>
    </row>
    <row r="87" spans="1:38" s="20" customFormat="1" ht="32.15">
      <c r="A87" s="14" t="s">
        <v>322</v>
      </c>
      <c r="B87" s="14" t="s">
        <v>323</v>
      </c>
      <c r="C87" s="19"/>
      <c r="D87" s="159"/>
      <c r="E87" s="159"/>
      <c r="F87" s="159"/>
      <c r="G87" s="167" t="s">
        <v>46</v>
      </c>
      <c r="H87" s="9" t="s">
        <v>54</v>
      </c>
      <c r="I87" s="17" t="s">
        <v>318</v>
      </c>
      <c r="J87" s="35">
        <v>44649</v>
      </c>
      <c r="K87" s="17">
        <v>1825</v>
      </c>
      <c r="L87" s="161">
        <v>201897816.06</v>
      </c>
      <c r="M87" s="35">
        <f t="shared" si="5"/>
        <v>46474</v>
      </c>
      <c r="N87" s="17">
        <v>0</v>
      </c>
      <c r="O87" s="159">
        <v>0</v>
      </c>
      <c r="P87" s="159">
        <v>0</v>
      </c>
      <c r="Q87" s="17" t="s">
        <v>30</v>
      </c>
      <c r="R87" s="159">
        <v>0</v>
      </c>
      <c r="S87" s="159"/>
      <c r="T87" s="16">
        <f t="shared" si="6"/>
        <v>0</v>
      </c>
      <c r="U87" s="159" t="e">
        <f>#REF!+T87</f>
        <v>#REF!</v>
      </c>
      <c r="V87" s="160" t="s">
        <v>31</v>
      </c>
      <c r="W87" s="45"/>
      <c r="X87" s="42"/>
      <c r="Y87" s="150"/>
      <c r="Z87" s="150"/>
      <c r="AL87" s="150"/>
    </row>
    <row r="88" spans="1:38" s="20" customFormat="1" ht="32.15">
      <c r="A88" s="14" t="s">
        <v>322</v>
      </c>
      <c r="B88" s="168" t="s">
        <v>324</v>
      </c>
      <c r="C88" s="19"/>
      <c r="D88" s="159"/>
      <c r="E88" s="159"/>
      <c r="F88" s="159"/>
      <c r="G88" s="14" t="s">
        <v>45</v>
      </c>
      <c r="H88" s="14" t="s">
        <v>325</v>
      </c>
      <c r="I88" s="17" t="s">
        <v>319</v>
      </c>
      <c r="J88" s="35">
        <v>44649</v>
      </c>
      <c r="K88" s="17">
        <v>1825</v>
      </c>
      <c r="L88" s="164">
        <v>86512024.75</v>
      </c>
      <c r="M88" s="35">
        <f t="shared" si="5"/>
        <v>46474</v>
      </c>
      <c r="N88" s="17">
        <v>0</v>
      </c>
      <c r="O88" s="159">
        <v>0</v>
      </c>
      <c r="P88" s="159">
        <v>0</v>
      </c>
      <c r="Q88" s="17" t="s">
        <v>30</v>
      </c>
      <c r="R88" s="159">
        <v>0</v>
      </c>
      <c r="S88" s="159"/>
      <c r="T88" s="16">
        <f t="shared" si="6"/>
        <v>0</v>
      </c>
      <c r="U88" s="159" t="e">
        <f>#REF!+T88</f>
        <v>#REF!</v>
      </c>
      <c r="V88" s="160" t="s">
        <v>31</v>
      </c>
      <c r="X88" s="42"/>
      <c r="Y88" s="150"/>
      <c r="Z88" s="150"/>
      <c r="AL88" s="150"/>
    </row>
    <row r="89" spans="1:38" s="20" customFormat="1" ht="32.15">
      <c r="A89" s="14" t="s">
        <v>322</v>
      </c>
      <c r="B89" s="14" t="s">
        <v>326</v>
      </c>
      <c r="C89" s="19"/>
      <c r="D89" s="159"/>
      <c r="E89" s="159"/>
      <c r="F89" s="159"/>
      <c r="G89" s="14" t="s">
        <v>46</v>
      </c>
      <c r="H89" s="14" t="s">
        <v>54</v>
      </c>
      <c r="I89" s="17" t="s">
        <v>320</v>
      </c>
      <c r="J89" s="35">
        <v>44649</v>
      </c>
      <c r="K89" s="17">
        <v>1825</v>
      </c>
      <c r="L89" s="161">
        <v>480063123.50999999</v>
      </c>
      <c r="M89" s="35">
        <f t="shared" si="5"/>
        <v>46474</v>
      </c>
      <c r="N89" s="17">
        <v>0</v>
      </c>
      <c r="O89" s="159">
        <v>0</v>
      </c>
      <c r="P89" s="159">
        <v>0</v>
      </c>
      <c r="Q89" s="17" t="s">
        <v>30</v>
      </c>
      <c r="R89" s="159">
        <v>0</v>
      </c>
      <c r="S89" s="159"/>
      <c r="T89" s="16">
        <f t="shared" si="6"/>
        <v>0</v>
      </c>
      <c r="U89" s="159" t="e">
        <f>#REF!+T89</f>
        <v>#REF!</v>
      </c>
      <c r="V89" s="160" t="s">
        <v>31</v>
      </c>
      <c r="X89" s="42"/>
      <c r="Y89" s="150"/>
      <c r="Z89" s="150"/>
      <c r="AL89" s="150"/>
    </row>
    <row r="90" spans="1:38" s="20" customFormat="1" ht="32.15">
      <c r="A90" s="14" t="s">
        <v>322</v>
      </c>
      <c r="B90" s="9" t="s">
        <v>327</v>
      </c>
      <c r="C90" s="19"/>
      <c r="D90" s="159"/>
      <c r="E90" s="159"/>
      <c r="F90" s="159"/>
      <c r="G90" s="14" t="s">
        <v>45</v>
      </c>
      <c r="H90" s="14" t="s">
        <v>325</v>
      </c>
      <c r="I90" s="17" t="s">
        <v>321</v>
      </c>
      <c r="J90" s="35">
        <v>44649</v>
      </c>
      <c r="K90" s="17">
        <v>1825</v>
      </c>
      <c r="L90" s="164">
        <v>205730360.58000001</v>
      </c>
      <c r="M90" s="35">
        <f t="shared" si="5"/>
        <v>46474</v>
      </c>
      <c r="N90" s="17">
        <v>0</v>
      </c>
      <c r="O90" s="159">
        <v>0</v>
      </c>
      <c r="P90" s="159">
        <v>0</v>
      </c>
      <c r="Q90" s="17" t="s">
        <v>30</v>
      </c>
      <c r="R90" s="159">
        <v>0</v>
      </c>
      <c r="S90" s="159"/>
      <c r="T90" s="16">
        <f t="shared" si="6"/>
        <v>0</v>
      </c>
      <c r="U90" s="159" t="e">
        <f>#REF!+T90</f>
        <v>#REF!</v>
      </c>
      <c r="V90" s="160" t="s">
        <v>31</v>
      </c>
      <c r="X90" s="42"/>
      <c r="Y90" s="150"/>
      <c r="Z90" s="150"/>
      <c r="AL90" s="150"/>
    </row>
    <row r="91" spans="1:38" s="20" customFormat="1" ht="53.6">
      <c r="A91" s="14" t="s">
        <v>329</v>
      </c>
      <c r="B91" s="14" t="s">
        <v>330</v>
      </c>
      <c r="C91" s="19" t="s">
        <v>233</v>
      </c>
      <c r="D91" s="159" t="s">
        <v>109</v>
      </c>
      <c r="E91" s="159">
        <v>50000000</v>
      </c>
      <c r="F91" s="159"/>
      <c r="G91" s="14" t="s">
        <v>42</v>
      </c>
      <c r="H91" s="14" t="s">
        <v>43</v>
      </c>
      <c r="I91" s="17" t="s">
        <v>328</v>
      </c>
      <c r="J91" s="35">
        <v>44651</v>
      </c>
      <c r="K91" s="17">
        <v>150</v>
      </c>
      <c r="L91" s="161">
        <v>306496.2</v>
      </c>
      <c r="M91" s="35">
        <f t="shared" si="5"/>
        <v>44801</v>
      </c>
      <c r="N91" s="17">
        <v>0</v>
      </c>
      <c r="O91" s="159">
        <v>0</v>
      </c>
      <c r="P91" s="159">
        <v>0</v>
      </c>
      <c r="Q91" s="17" t="s">
        <v>49</v>
      </c>
      <c r="R91" s="159">
        <v>0</v>
      </c>
      <c r="S91" s="159"/>
      <c r="T91" s="16">
        <f t="shared" si="6"/>
        <v>0</v>
      </c>
      <c r="U91" s="159" t="e">
        <f>#REF!+T91</f>
        <v>#REF!</v>
      </c>
      <c r="V91" s="160" t="s">
        <v>291</v>
      </c>
      <c r="X91" s="42"/>
      <c r="Y91" s="150"/>
      <c r="Z91" s="150"/>
      <c r="AL91" s="150"/>
    </row>
  </sheetData>
  <sheetProtection selectLockedCells="1" selectUnlockedCells="1"/>
  <sortState ref="A8:DO130">
    <sortCondition ref="V8:V130"/>
  </sortState>
  <mergeCells count="21">
    <mergeCell ref="A1:V1"/>
    <mergeCell ref="A2:F2"/>
    <mergeCell ref="G2:V2"/>
    <mergeCell ref="A3:F3"/>
    <mergeCell ref="G3:V3"/>
    <mergeCell ref="V6:V7"/>
    <mergeCell ref="B6:B7"/>
    <mergeCell ref="J4:O4"/>
    <mergeCell ref="Q6:U6"/>
    <mergeCell ref="P6:P7"/>
    <mergeCell ref="F5:H5"/>
    <mergeCell ref="Q5:V5"/>
    <mergeCell ref="F4:H4"/>
    <mergeCell ref="Q4:V4"/>
    <mergeCell ref="A6:A7"/>
    <mergeCell ref="J5:O5"/>
    <mergeCell ref="I6:M6"/>
    <mergeCell ref="C6:F6"/>
    <mergeCell ref="A5:C5"/>
    <mergeCell ref="N6:O6"/>
    <mergeCell ref="G6:H6"/>
  </mergeCells>
  <pageMargins left="0.27559055118110237" right="0.19685039370078741" top="0.43307086614173229" bottom="0.43307086614173229" header="0.19685039370078741" footer="0.19685039370078741"/>
  <pageSetup paperSize="9" scale="75" firstPageNumber="0" fitToWidth="2" fitToHeight="100" orientation="landscape" horizontalDpi="300" verticalDpi="300" r:id="rId1"/>
  <headerFooter alignWithMargins="0">
    <oddHeader>&amp;C&amp;"Arial,Normal"&amp;10</oddHeader>
    <oddFooter>&amp;C&amp;"Arial,Normal"&amp;10Página &amp;P</oddFooter>
  </headerFooter>
</worksheet>
</file>

<file path=xl/worksheets/sheet2.xml><?xml version="1.0" encoding="utf-8"?>
<worksheet xmlns="http://schemas.openxmlformats.org/spreadsheetml/2006/main" xmlns:r="http://schemas.openxmlformats.org/officeDocument/2006/relationships">
  <sheetPr codeName="Plan2"/>
  <dimension ref="A1:DE112"/>
  <sheetViews>
    <sheetView topLeftCell="H1" workbookViewId="0">
      <selection activeCell="J8" sqref="J8"/>
    </sheetView>
  </sheetViews>
  <sheetFormatPr defaultColWidth="9.15234375" defaultRowHeight="10.75"/>
  <cols>
    <col min="1" max="1" width="17" style="9" customWidth="1"/>
    <col min="2" max="2" width="32" style="9" bestFit="1" customWidth="1"/>
    <col min="3" max="4" width="9.15234375" style="13" customWidth="1"/>
    <col min="5" max="5" width="10.53515625" style="74" bestFit="1" customWidth="1"/>
    <col min="6" max="6" width="9.15234375" style="74" customWidth="1"/>
    <col min="7" max="7" width="13.53515625" style="9" customWidth="1"/>
    <col min="8" max="8" width="20.84375" style="22" customWidth="1"/>
    <col min="9" max="9" width="9.15234375" style="11" customWidth="1"/>
    <col min="10" max="10" width="9.15234375" style="34" customWidth="1"/>
    <col min="11" max="11" width="9.15234375" style="11" customWidth="1"/>
    <col min="12" max="12" width="10.15234375" style="36" bestFit="1" customWidth="1"/>
    <col min="13" max="13" width="9.15234375" style="34" customWidth="1"/>
    <col min="14" max="14" width="9.15234375" style="11" customWidth="1"/>
    <col min="15" max="15" width="10.15234375" style="12" bestFit="1" customWidth="1"/>
    <col min="16" max="16" width="9.15234375" style="12" customWidth="1"/>
    <col min="17" max="17" width="9.15234375" style="13" customWidth="1"/>
    <col min="18" max="18" width="12.3828125" style="28" customWidth="1"/>
    <col min="19" max="20" width="9.84375" style="29" bestFit="1" customWidth="1"/>
    <col min="21" max="21" width="15.15234375" style="29" customWidth="1"/>
    <col min="22" max="22" width="9.15234375" style="11" customWidth="1"/>
    <col min="23" max="23" width="9.15234375" style="10" customWidth="1"/>
    <col min="24" max="25" width="9.15234375" style="9" customWidth="1"/>
    <col min="26" max="28" width="9.15234375" style="9"/>
    <col min="29" max="29" width="9.15234375" style="10" customWidth="1"/>
    <col min="30" max="16384" width="9.15234375" style="9"/>
  </cols>
  <sheetData>
    <row r="1" spans="1:29" s="30" customFormat="1">
      <c r="A1" s="197" t="s">
        <v>0</v>
      </c>
      <c r="B1" s="197"/>
      <c r="C1" s="197"/>
      <c r="D1" s="197"/>
      <c r="E1" s="197"/>
      <c r="F1" s="197"/>
      <c r="G1" s="197"/>
      <c r="H1" s="197"/>
      <c r="I1" s="197"/>
      <c r="J1" s="197"/>
      <c r="K1" s="197"/>
      <c r="L1" s="197"/>
      <c r="M1" s="197"/>
      <c r="N1" s="197"/>
      <c r="O1" s="197"/>
      <c r="P1" s="197"/>
      <c r="Q1" s="197"/>
      <c r="R1" s="197"/>
      <c r="S1" s="197"/>
      <c r="T1" s="197"/>
      <c r="U1" s="197"/>
      <c r="V1" s="195"/>
      <c r="W1" s="57"/>
      <c r="X1" s="58"/>
      <c r="Y1" s="59"/>
      <c r="Z1" s="40"/>
    </row>
    <row r="2" spans="1:29" s="30" customFormat="1">
      <c r="A2" s="198" t="s">
        <v>114</v>
      </c>
      <c r="B2" s="198"/>
      <c r="C2" s="198"/>
      <c r="D2" s="198"/>
      <c r="E2" s="198"/>
      <c r="F2" s="198"/>
      <c r="G2" s="199"/>
      <c r="H2" s="199"/>
      <c r="I2" s="199"/>
      <c r="J2" s="199"/>
      <c r="K2" s="199"/>
      <c r="L2" s="199"/>
      <c r="M2" s="199"/>
      <c r="N2" s="199"/>
      <c r="O2" s="199"/>
      <c r="P2" s="199"/>
      <c r="Q2" s="199"/>
      <c r="R2" s="199"/>
      <c r="S2" s="199"/>
      <c r="T2" s="199"/>
      <c r="U2" s="199"/>
      <c r="V2" s="199"/>
      <c r="W2" s="57"/>
      <c r="X2" s="58"/>
      <c r="Y2" s="59"/>
      <c r="Z2" s="40"/>
    </row>
    <row r="3" spans="1:29" s="30" customFormat="1">
      <c r="A3" s="197" t="s">
        <v>84</v>
      </c>
      <c r="B3" s="197"/>
      <c r="C3" s="197"/>
      <c r="D3" s="197"/>
      <c r="E3" s="197"/>
      <c r="F3" s="197"/>
      <c r="G3" s="199"/>
      <c r="H3" s="199"/>
      <c r="I3" s="199"/>
      <c r="J3" s="199"/>
      <c r="K3" s="199"/>
      <c r="L3" s="199"/>
      <c r="M3" s="199"/>
      <c r="N3" s="199"/>
      <c r="O3" s="199"/>
      <c r="P3" s="199"/>
      <c r="Q3" s="199"/>
      <c r="R3" s="199"/>
      <c r="S3" s="199"/>
      <c r="T3" s="199"/>
      <c r="U3" s="199"/>
      <c r="V3" s="199"/>
      <c r="W3" s="57"/>
      <c r="X3" s="58"/>
      <c r="Y3" s="59"/>
      <c r="Z3" s="40"/>
    </row>
    <row r="4" spans="1:29" s="30" customFormat="1">
      <c r="A4" s="145" t="s">
        <v>276</v>
      </c>
      <c r="B4" s="71"/>
      <c r="C4" s="31"/>
      <c r="D4" s="31"/>
      <c r="E4" s="73"/>
      <c r="F4" s="195"/>
      <c r="G4" s="195"/>
      <c r="H4" s="195"/>
      <c r="I4" s="33"/>
      <c r="J4" s="202"/>
      <c r="K4" s="202"/>
      <c r="L4" s="202"/>
      <c r="M4" s="202"/>
      <c r="N4" s="202"/>
      <c r="O4" s="202"/>
      <c r="P4" s="72"/>
      <c r="Q4" s="196" t="s">
        <v>113</v>
      </c>
      <c r="R4" s="196"/>
      <c r="S4" s="196"/>
      <c r="T4" s="196"/>
      <c r="U4" s="196"/>
      <c r="V4" s="196"/>
      <c r="W4" s="57"/>
      <c r="X4" s="58"/>
      <c r="Y4" s="59"/>
      <c r="Z4" s="40"/>
    </row>
    <row r="5" spans="1:29" s="40" customFormat="1">
      <c r="A5" s="189" t="s">
        <v>192</v>
      </c>
      <c r="B5" s="189"/>
      <c r="C5" s="189"/>
      <c r="D5" s="78"/>
      <c r="E5" s="200" t="s">
        <v>90</v>
      </c>
      <c r="F5" s="200"/>
      <c r="G5" s="200"/>
      <c r="H5" s="200"/>
      <c r="I5" s="201"/>
      <c r="J5" s="201"/>
      <c r="K5" s="201"/>
      <c r="L5" s="201"/>
      <c r="M5" s="201"/>
      <c r="N5" s="201"/>
      <c r="O5" s="201"/>
      <c r="P5" s="201"/>
      <c r="Q5" s="204" t="s">
        <v>2</v>
      </c>
      <c r="R5" s="204"/>
      <c r="S5" s="204"/>
      <c r="T5" s="204"/>
      <c r="U5" s="204"/>
      <c r="V5" s="204"/>
      <c r="W5" s="79"/>
      <c r="X5" s="59"/>
      <c r="Y5" s="59"/>
      <c r="AC5" s="38"/>
    </row>
    <row r="6" spans="1:29" s="40" customFormat="1">
      <c r="A6" s="186" t="s">
        <v>4</v>
      </c>
      <c r="B6" s="186" t="s">
        <v>5</v>
      </c>
      <c r="C6" s="186" t="s">
        <v>6</v>
      </c>
      <c r="D6" s="186"/>
      <c r="E6" s="186"/>
      <c r="F6" s="186"/>
      <c r="G6" s="186" t="s">
        <v>7</v>
      </c>
      <c r="H6" s="186"/>
      <c r="I6" s="190" t="s">
        <v>8</v>
      </c>
      <c r="J6" s="190"/>
      <c r="K6" s="190"/>
      <c r="L6" s="190"/>
      <c r="M6" s="190"/>
      <c r="N6" s="190" t="s">
        <v>9</v>
      </c>
      <c r="O6" s="190"/>
      <c r="P6" s="203" t="s">
        <v>10</v>
      </c>
      <c r="Q6" s="186" t="s">
        <v>11</v>
      </c>
      <c r="R6" s="186"/>
      <c r="S6" s="186"/>
      <c r="T6" s="186"/>
      <c r="U6" s="186"/>
      <c r="V6" s="190" t="s">
        <v>12</v>
      </c>
      <c r="W6" s="57"/>
      <c r="X6" s="59"/>
      <c r="Y6" s="59"/>
      <c r="AC6" s="38"/>
    </row>
    <row r="7" spans="1:29" s="39" customFormat="1" ht="53.6">
      <c r="A7" s="186"/>
      <c r="B7" s="186"/>
      <c r="C7" s="68" t="s">
        <v>13</v>
      </c>
      <c r="D7" s="76" t="s">
        <v>14</v>
      </c>
      <c r="E7" s="80" t="s">
        <v>15</v>
      </c>
      <c r="F7" s="80" t="s">
        <v>16</v>
      </c>
      <c r="G7" s="68" t="s">
        <v>17</v>
      </c>
      <c r="H7" s="51" t="s">
        <v>18</v>
      </c>
      <c r="I7" s="77" t="s">
        <v>13</v>
      </c>
      <c r="J7" s="32" t="s">
        <v>19</v>
      </c>
      <c r="K7" s="77" t="s">
        <v>20</v>
      </c>
      <c r="L7" s="54" t="s">
        <v>21</v>
      </c>
      <c r="M7" s="32" t="s">
        <v>22</v>
      </c>
      <c r="N7" s="69" t="s">
        <v>23</v>
      </c>
      <c r="O7" s="70" t="s">
        <v>24</v>
      </c>
      <c r="P7" s="203"/>
      <c r="Q7" s="68" t="s">
        <v>25</v>
      </c>
      <c r="R7" s="55" t="s">
        <v>26</v>
      </c>
      <c r="S7" s="56" t="s">
        <v>27</v>
      </c>
      <c r="T7" s="56" t="s">
        <v>28</v>
      </c>
      <c r="U7" s="56" t="s">
        <v>29</v>
      </c>
      <c r="V7" s="190"/>
      <c r="W7" s="38"/>
      <c r="X7" s="40"/>
      <c r="Y7" s="40"/>
      <c r="AC7" s="41"/>
    </row>
    <row r="8" spans="1:29">
      <c r="A8" s="14" t="e">
        <f>'1º TRIMESTRE'!#REF!</f>
        <v>#REF!</v>
      </c>
      <c r="B8" s="14" t="e">
        <f>'1º TRIMESTRE'!#REF!</f>
        <v>#REF!</v>
      </c>
      <c r="C8" s="14" t="e">
        <f>'1º TRIMESTRE'!#REF!</f>
        <v>#REF!</v>
      </c>
      <c r="D8" s="14" t="e">
        <f>'1º TRIMESTRE'!#REF!</f>
        <v>#REF!</v>
      </c>
      <c r="E8" s="14" t="e">
        <f>'1º TRIMESTRE'!#REF!</f>
        <v>#REF!</v>
      </c>
      <c r="F8" s="14" t="e">
        <f>'1º TRIMESTRE'!#REF!</f>
        <v>#REF!</v>
      </c>
      <c r="G8" s="14" t="e">
        <f>'1º TRIMESTRE'!#REF!</f>
        <v>#REF!</v>
      </c>
      <c r="H8" s="14" t="e">
        <f>'1º TRIMESTRE'!#REF!</f>
        <v>#REF!</v>
      </c>
      <c r="I8" s="14" t="e">
        <f>'1º TRIMESTRE'!#REF!</f>
        <v>#REF!</v>
      </c>
      <c r="J8" s="14" t="e">
        <f>'1º TRIMESTRE'!#REF!</f>
        <v>#REF!</v>
      </c>
      <c r="K8" s="14" t="e">
        <f>'1º TRIMESTRE'!#REF!</f>
        <v>#REF!</v>
      </c>
      <c r="L8" s="14" t="e">
        <f>'1º TRIMESTRE'!#REF!</f>
        <v>#REF!</v>
      </c>
      <c r="M8" s="14" t="e">
        <f>'1º TRIMESTRE'!#REF!</f>
        <v>#REF!</v>
      </c>
      <c r="N8" s="14" t="e">
        <f>'1º TRIMESTRE'!#REF!</f>
        <v>#REF!</v>
      </c>
      <c r="O8" s="14" t="e">
        <f>'1º TRIMESTRE'!#REF!</f>
        <v>#REF!</v>
      </c>
      <c r="P8" s="14" t="e">
        <f>'1º TRIMESTRE'!#REF!</f>
        <v>#REF!</v>
      </c>
      <c r="Q8" s="14" t="e">
        <f>'1º TRIMESTRE'!#REF!</f>
        <v>#REF!</v>
      </c>
      <c r="R8" s="14" t="e">
        <f>'1º TRIMESTRE'!#REF!</f>
        <v>#REF!</v>
      </c>
      <c r="S8" s="14" t="e">
        <f>'1º TRIMESTRE'!#REF!</f>
        <v>#REF!</v>
      </c>
      <c r="T8" s="14" t="e">
        <f>'1º TRIMESTRE'!#REF!</f>
        <v>#REF!</v>
      </c>
      <c r="U8" s="14" t="e">
        <f>'1º TRIMESTRE'!#REF!</f>
        <v>#REF!</v>
      </c>
      <c r="V8" s="14" t="e">
        <f>'1º TRIMESTRE'!#REF!</f>
        <v>#REF!</v>
      </c>
      <c r="X8" s="39"/>
      <c r="Y8" s="39"/>
    </row>
    <row r="9" spans="1:29" ht="32.15">
      <c r="A9" s="14" t="str">
        <f>'1º TRIMESTRE'!A12</f>
        <v>TOMADA DE PREÇOS /nº 07/2016</v>
      </c>
      <c r="B9" s="14" t="str">
        <f>'1º TRIMESTRE'!B12</f>
        <v>SEVIÇOS CONTÍNUOS DE MANUTENÇÃO CORRETIVA E PREVENTIVA E EXPANSÃO DA ILUMINAÇÃO ESPECIAL NA CIDADE DO RECIFE</v>
      </c>
      <c r="C9" s="14">
        <f>'1º TRIMESTRE'!C12</f>
        <v>0</v>
      </c>
      <c r="D9" s="14">
        <f>'1º TRIMESTRE'!D12</f>
        <v>0</v>
      </c>
      <c r="E9" s="14">
        <f>'1º TRIMESTRE'!E12</f>
        <v>0</v>
      </c>
      <c r="F9" s="14">
        <f>'1º TRIMESTRE'!F12</f>
        <v>0</v>
      </c>
      <c r="G9" s="14" t="str">
        <f>'1º TRIMESTRE'!G12</f>
        <v>41.116.138/0001-38</v>
      </c>
      <c r="H9" s="14" t="str">
        <f>'1º TRIMESTRE'!H12</f>
        <v xml:space="preserve">REAL ENERGY LTDA                                            </v>
      </c>
      <c r="I9" s="14" t="str">
        <f>'1º TRIMESTRE'!I12</f>
        <v>6-002/17</v>
      </c>
      <c r="J9" s="14">
        <f>'1º TRIMESTRE'!J12</f>
        <v>42795</v>
      </c>
      <c r="K9" s="14">
        <f>'1º TRIMESTRE'!K12</f>
        <v>365</v>
      </c>
      <c r="L9" s="14">
        <f>'1º TRIMESTRE'!L12</f>
        <v>1223866.8</v>
      </c>
      <c r="M9" s="14">
        <f>'1º TRIMESTRE'!M12</f>
        <v>44620</v>
      </c>
      <c r="N9" s="14">
        <f>'1º TRIMESTRE'!N12</f>
        <v>1460</v>
      </c>
      <c r="O9" s="14">
        <f>'1º TRIMESTRE'!O12</f>
        <v>4923839.5200000005</v>
      </c>
      <c r="P9" s="14">
        <f>'1º TRIMESTRE'!P12</f>
        <v>81998.64</v>
      </c>
      <c r="Q9" s="14" t="str">
        <f>'1º TRIMESTRE'!Q12</f>
        <v>3.3.90.39</v>
      </c>
      <c r="R9" s="14">
        <f>'1º TRIMESTRE'!R12</f>
        <v>6138666.4100000001</v>
      </c>
      <c r="S9" s="14">
        <f>'1º TRIMESTRE'!S12</f>
        <v>219564.08</v>
      </c>
      <c r="T9" s="14">
        <f>'1º TRIMESTRE'!T12</f>
        <v>219564.08</v>
      </c>
      <c r="U9" s="14" t="e">
        <f>'1º TRIMESTRE'!U12</f>
        <v>#REF!</v>
      </c>
      <c r="V9" s="14" t="str">
        <f>'1º TRIMESTRE'!V12</f>
        <v>andamento</v>
      </c>
      <c r="X9" s="39"/>
    </row>
    <row r="10" spans="1:29" ht="42.9">
      <c r="A10" s="14" t="str">
        <f>'1º TRIMESTRE'!A33</f>
        <v>CONCORRÊNCIA / nº 12/2020</v>
      </c>
      <c r="B10" s="14" t="str">
        <f>'1º TRIMESTRE'!B33</f>
        <v>CONTRATACAO DOS SERVICOS DE LIMPEZA E MANUTENCAO DO SISTEMA DE MICRODRENAGEM DE AGUAS PLUVIAIS DO MUNICIPIO DO RECIFE RPA 02 E 03</v>
      </c>
      <c r="C10" s="14">
        <f>'1º TRIMESTRE'!C33</f>
        <v>0</v>
      </c>
      <c r="D10" s="14">
        <f>'1º TRIMESTRE'!D33</f>
        <v>0</v>
      </c>
      <c r="E10" s="14">
        <f>'1º TRIMESTRE'!E33</f>
        <v>0</v>
      </c>
      <c r="F10" s="14">
        <f>'1º TRIMESTRE'!F33</f>
        <v>0</v>
      </c>
      <c r="G10" s="14" t="str">
        <f>'1º TRIMESTRE'!G33</f>
        <v>07.693.988/0001-60</v>
      </c>
      <c r="H10" s="14" t="str">
        <f>'1º TRIMESTRE'!H33</f>
        <v>F R F  ENGENHARIA LTDA</v>
      </c>
      <c r="I10" s="14" t="str">
        <f>'1º TRIMESTRE'!I33</f>
        <v>6-002/21</v>
      </c>
      <c r="J10" s="14">
        <f>'1º TRIMESTRE'!J33</f>
        <v>44204</v>
      </c>
      <c r="K10" s="14">
        <f>'1º TRIMESTRE'!K33</f>
        <v>1125</v>
      </c>
      <c r="L10" s="14">
        <f>'1º TRIMESTRE'!L33</f>
        <v>17543900.190000001</v>
      </c>
      <c r="M10" s="14">
        <f>'1º TRIMESTRE'!M33</f>
        <v>45329</v>
      </c>
      <c r="N10" s="14">
        <f>'1º TRIMESTRE'!N33</f>
        <v>0</v>
      </c>
      <c r="O10" s="14">
        <f>'1º TRIMESTRE'!O33</f>
        <v>713682.3</v>
      </c>
      <c r="P10" s="14">
        <f>'1º TRIMESTRE'!P33</f>
        <v>0</v>
      </c>
      <c r="Q10" s="14" t="str">
        <f>'1º TRIMESTRE'!Q33</f>
        <v>3.3.90.39</v>
      </c>
      <c r="R10" s="14">
        <f>'1º TRIMESTRE'!R33</f>
        <v>5744809.7300000004</v>
      </c>
      <c r="S10" s="14">
        <f>'1º TRIMESTRE'!S33</f>
        <v>1011036.82</v>
      </c>
      <c r="T10" s="14">
        <f>'1º TRIMESTRE'!T33</f>
        <v>1011036.82</v>
      </c>
      <c r="U10" s="14" t="e">
        <f>'1º TRIMESTRE'!U33</f>
        <v>#REF!</v>
      </c>
      <c r="V10" s="14" t="str">
        <f>'1º TRIMESTRE'!V33</f>
        <v>andamento</v>
      </c>
      <c r="X10" s="39"/>
    </row>
    <row r="11" spans="1:29" ht="32.15">
      <c r="A11" s="14" t="str">
        <f>'1º TRIMESTRE'!A34</f>
        <v>Pregão Eletrônico/ nº 017/2020</v>
      </c>
      <c r="B11" s="14" t="str">
        <f>'1º TRIMESTRE'!B34</f>
        <v>SERVIÇO DE MANUTENÇÃO E/OU INSTALAÇÃO DE BRINQUEDOS DE MADEIRA, INSTALADOS EM PARQUES E PRAÇAS DA CIDADE DO RECIFE</v>
      </c>
      <c r="C11" s="14">
        <f>'1º TRIMESTRE'!C34</f>
        <v>0</v>
      </c>
      <c r="D11" s="14">
        <f>'1º TRIMESTRE'!D34</f>
        <v>0</v>
      </c>
      <c r="E11" s="14">
        <f>'1º TRIMESTRE'!E34</f>
        <v>0</v>
      </c>
      <c r="F11" s="14">
        <f>'1º TRIMESTRE'!F34</f>
        <v>0</v>
      </c>
      <c r="G11" s="14" t="str">
        <f>'1º TRIMESTRE'!G34</f>
        <v>06.157.352/0001-31</v>
      </c>
      <c r="H11" s="14" t="str">
        <f>'1º TRIMESTRE'!H34</f>
        <v>ROBERTO &amp; JAIR COMERCIO E SERVICOS LTDA - EPP</v>
      </c>
      <c r="I11" s="14" t="str">
        <f>'1º TRIMESTRE'!I34</f>
        <v>6-003/21</v>
      </c>
      <c r="J11" s="14">
        <f>'1º TRIMESTRE'!J34</f>
        <v>44246</v>
      </c>
      <c r="K11" s="14">
        <f>'1º TRIMESTRE'!K34</f>
        <v>365</v>
      </c>
      <c r="L11" s="14">
        <f>'1º TRIMESTRE'!L34</f>
        <v>159999.96</v>
      </c>
      <c r="M11" s="14">
        <f>'1º TRIMESTRE'!M34</f>
        <v>44701</v>
      </c>
      <c r="N11" s="14">
        <f>'1º TRIMESTRE'!N34</f>
        <v>90</v>
      </c>
      <c r="O11" s="14">
        <f>'1º TRIMESTRE'!O34</f>
        <v>39425.78</v>
      </c>
      <c r="P11" s="14">
        <f>'1º TRIMESTRE'!P34</f>
        <v>0</v>
      </c>
      <c r="Q11" s="14" t="str">
        <f>'1º TRIMESTRE'!Q34</f>
        <v>3.3.90.39</v>
      </c>
      <c r="R11" s="14">
        <f>'1º TRIMESTRE'!R34</f>
        <v>184625.54</v>
      </c>
      <c r="S11" s="14">
        <f>'1º TRIMESTRE'!S34</f>
        <v>33487.69</v>
      </c>
      <c r="T11" s="14">
        <f>'1º TRIMESTRE'!T34</f>
        <v>33487.69</v>
      </c>
      <c r="U11" s="14" t="e">
        <f>'1º TRIMESTRE'!U34</f>
        <v>#REF!</v>
      </c>
      <c r="V11" s="14" t="str">
        <f>'1º TRIMESTRE'!V34</f>
        <v>andamento</v>
      </c>
      <c r="X11" s="39"/>
    </row>
    <row r="12" spans="1:29" ht="64.3">
      <c r="A12" s="14" t="str">
        <f>'1º TRIMESTRE'!A35</f>
        <v>CONCORRÊNCIA / nº 14/2020</v>
      </c>
      <c r="B12" s="14" t="str">
        <f>'1º TRIMESTRE'!B35</f>
        <v>CONTRATACAO DE EMPRESA DE ENGENHARIA PARA REALIZACAO DE MANUTENCAO PREVENTIVA E CORRETIVA DO SISTEMA DE ILUMINACAO PUBLICA CONVENCIONAL DAS RPAS DO MUNICIPIO DO RECIFE. EM POSTES COM ATE 12 METROS DE ALTURA LOTE I. RPA 1 E 6</v>
      </c>
      <c r="C12" s="14">
        <f>'1º TRIMESTRE'!C35</f>
        <v>0</v>
      </c>
      <c r="D12" s="14">
        <f>'1º TRIMESTRE'!D35</f>
        <v>0</v>
      </c>
      <c r="E12" s="14">
        <f>'1º TRIMESTRE'!E35</f>
        <v>0</v>
      </c>
      <c r="F12" s="14">
        <f>'1º TRIMESTRE'!F35</f>
        <v>0</v>
      </c>
      <c r="G12" s="14" t="str">
        <f>'1º TRIMESTRE'!G35</f>
        <v>03.834.750/0001-57</v>
      </c>
      <c r="H12" s="14" t="str">
        <f>'1º TRIMESTRE'!H35</f>
        <v>EIP SERVICOS DE ILUMINACAO LTDA</v>
      </c>
      <c r="I12" s="14" t="str">
        <f>'1º TRIMESTRE'!I35</f>
        <v>6-004/21</v>
      </c>
      <c r="J12" s="14">
        <f>'1º TRIMESTRE'!J35</f>
        <v>44270</v>
      </c>
      <c r="K12" s="14">
        <f>'1º TRIMESTRE'!K35</f>
        <v>790</v>
      </c>
      <c r="L12" s="14">
        <f>'1º TRIMESTRE'!L35</f>
        <v>1459741.65</v>
      </c>
      <c r="M12" s="14">
        <f>'1º TRIMESTRE'!M35</f>
        <v>45060</v>
      </c>
      <c r="N12" s="14">
        <f>'1º TRIMESTRE'!N35</f>
        <v>0</v>
      </c>
      <c r="O12" s="14">
        <f>'1º TRIMESTRE'!O35</f>
        <v>271913.86</v>
      </c>
      <c r="P12" s="14">
        <f>'1º TRIMESTRE'!P35</f>
        <v>0</v>
      </c>
      <c r="Q12" s="14" t="str">
        <f>'1º TRIMESTRE'!Q35</f>
        <v>3.3.90.39</v>
      </c>
      <c r="R12" s="14">
        <f>'1º TRIMESTRE'!R35</f>
        <v>780390.67999999993</v>
      </c>
      <c r="S12" s="14">
        <f>'1º TRIMESTRE'!S35</f>
        <v>127874.2</v>
      </c>
      <c r="T12" s="14">
        <f>'1º TRIMESTRE'!T35</f>
        <v>127874.2</v>
      </c>
      <c r="U12" s="14" t="e">
        <f>'1º TRIMESTRE'!U35</f>
        <v>#REF!</v>
      </c>
      <c r="V12" s="14" t="str">
        <f>'1º TRIMESTRE'!V35</f>
        <v>andamento</v>
      </c>
      <c r="X12" s="39"/>
    </row>
    <row r="13" spans="1:29" ht="64.3">
      <c r="A13" s="14" t="str">
        <f>'1º TRIMESTRE'!A36</f>
        <v>CONCORRÊNCIA / nº 14/2020</v>
      </c>
      <c r="B13" s="14" t="str">
        <f>'1º TRIMESTRE'!B36</f>
        <v>CONTRATACAO DE EMPRESA DE ENGENHARIA PARA REALIZACAO DE MANUTENCAO PREVENTIVA E CORRETIVA DO SISTEMA DE ILUMINACAO PUBLICA CONVENCIONAL DAS RPAS DO MUNICIPIO DO RECIFE. EM POSTES COM ATE 12 METROS DE ALTURA LOTE II RPA 2 E 3</v>
      </c>
      <c r="C13" s="14">
        <f>'1º TRIMESTRE'!C36</f>
        <v>0</v>
      </c>
      <c r="D13" s="14">
        <f>'1º TRIMESTRE'!D36</f>
        <v>0</v>
      </c>
      <c r="E13" s="14">
        <f>'1º TRIMESTRE'!E36</f>
        <v>0</v>
      </c>
      <c r="F13" s="14">
        <f>'1º TRIMESTRE'!F36</f>
        <v>0</v>
      </c>
      <c r="G13" s="14" t="str">
        <f>'1º TRIMESTRE'!G36</f>
        <v>03.834.750/0001-57</v>
      </c>
      <c r="H13" s="14" t="str">
        <f>'1º TRIMESTRE'!H36</f>
        <v>EIP SERVICOS DE ILUMINACAO LTDA</v>
      </c>
      <c r="I13" s="14" t="str">
        <f>'1º TRIMESTRE'!I36</f>
        <v>6-005/21</v>
      </c>
      <c r="J13" s="14">
        <f>'1º TRIMESTRE'!J36</f>
        <v>44270</v>
      </c>
      <c r="K13" s="14">
        <f>'1º TRIMESTRE'!K36</f>
        <v>790</v>
      </c>
      <c r="L13" s="14">
        <f>'1º TRIMESTRE'!L36</f>
        <v>1589764.85</v>
      </c>
      <c r="M13" s="14">
        <f>'1º TRIMESTRE'!M36</f>
        <v>45060</v>
      </c>
      <c r="N13" s="14">
        <f>'1º TRIMESTRE'!N36</f>
        <v>0</v>
      </c>
      <c r="O13" s="14">
        <f>'1º TRIMESTRE'!O36</f>
        <v>337768.38</v>
      </c>
      <c r="P13" s="14">
        <f>'1º TRIMESTRE'!P36</f>
        <v>0</v>
      </c>
      <c r="Q13" s="14" t="str">
        <f>'1º TRIMESTRE'!Q36</f>
        <v>3.3.90.39</v>
      </c>
      <c r="R13" s="14">
        <f>'1º TRIMESTRE'!R36</f>
        <v>765439.27</v>
      </c>
      <c r="S13" s="14">
        <f>'1º TRIMESTRE'!S36</f>
        <v>129293.64</v>
      </c>
      <c r="T13" s="14">
        <f>'1º TRIMESTRE'!T36</f>
        <v>129293.64</v>
      </c>
      <c r="U13" s="14" t="e">
        <f>'1º TRIMESTRE'!U36</f>
        <v>#REF!</v>
      </c>
      <c r="V13" s="14" t="str">
        <f>'1º TRIMESTRE'!V36</f>
        <v>andamento</v>
      </c>
      <c r="X13" s="39"/>
    </row>
    <row r="14" spans="1:29" ht="53.6">
      <c r="A14" s="14" t="str">
        <f>'1º TRIMESTRE'!A37</f>
        <v>CONCORRÊNCIA / nº 14/2020</v>
      </c>
      <c r="B14" s="14" t="str">
        <f>'1º TRIMESTRE'!B37</f>
        <v>CONTRATAÇÃO DE EMPRESA DE ENGENHARIA PARA REALIZAÇÃO DE MANUTENÇÃO PREVENTIVA E CORRETIVA DO SISTEMA DE ILUMINAÇÃO PUBLICA CONVENCIONAL DAS RPAS DO RECIFE LOTE III RPA  4 E 5</v>
      </c>
      <c r="C14" s="14">
        <f>'1º TRIMESTRE'!C37</f>
        <v>0</v>
      </c>
      <c r="D14" s="14">
        <f>'1º TRIMESTRE'!D37</f>
        <v>0</v>
      </c>
      <c r="E14" s="14">
        <f>'1º TRIMESTRE'!E37</f>
        <v>0</v>
      </c>
      <c r="F14" s="14">
        <f>'1º TRIMESTRE'!F37</f>
        <v>0</v>
      </c>
      <c r="G14" s="14" t="str">
        <f>'1º TRIMESTRE'!G37</f>
        <v>03.834.750/0001-57</v>
      </c>
      <c r="H14" s="14" t="str">
        <f>'1º TRIMESTRE'!H37</f>
        <v>EIP SERVICOS DE ILUMINACAO LTDA</v>
      </c>
      <c r="I14" s="14" t="str">
        <f>'1º TRIMESTRE'!I37</f>
        <v>6-006/21</v>
      </c>
      <c r="J14" s="14">
        <f>'1º TRIMESTRE'!J37</f>
        <v>44270</v>
      </c>
      <c r="K14" s="14">
        <f>'1º TRIMESTRE'!K37</f>
        <v>790</v>
      </c>
      <c r="L14" s="14">
        <f>'1º TRIMESTRE'!L37</f>
        <v>1435226.94</v>
      </c>
      <c r="M14" s="14">
        <f>'1º TRIMESTRE'!M37</f>
        <v>45060</v>
      </c>
      <c r="N14" s="14">
        <f>'1º TRIMESTRE'!N37</f>
        <v>0</v>
      </c>
      <c r="O14" s="14">
        <f>'1º TRIMESTRE'!O37</f>
        <v>341654.57999999996</v>
      </c>
      <c r="P14" s="14">
        <f>'1º TRIMESTRE'!P37</f>
        <v>0</v>
      </c>
      <c r="Q14" s="14" t="str">
        <f>'1º TRIMESTRE'!Q37</f>
        <v>3.3.90.39</v>
      </c>
      <c r="R14" s="14">
        <f>'1º TRIMESTRE'!R37</f>
        <v>761351.63</v>
      </c>
      <c r="S14" s="14">
        <f>'1º TRIMESTRE'!S37</f>
        <v>200198.65</v>
      </c>
      <c r="T14" s="14">
        <f>'1º TRIMESTRE'!T37</f>
        <v>200198.65</v>
      </c>
      <c r="U14" s="14" t="e">
        <f>'1º TRIMESTRE'!U37</f>
        <v>#REF!</v>
      </c>
      <c r="V14" s="14" t="str">
        <f>'1º TRIMESTRE'!V37</f>
        <v>andamento</v>
      </c>
      <c r="X14" s="39"/>
    </row>
    <row r="15" spans="1:29" ht="42.9">
      <c r="A15" s="14" t="str">
        <f>'1º TRIMESTRE'!A38</f>
        <v>CONCORRÊNCIA / nº 17/2020</v>
      </c>
      <c r="B15" s="14" t="str">
        <f>'1º TRIMESTRE'!B38</f>
        <v>CONTRATACAO DOS SERVICOS DE MANUTENCAO E RECUPERACAO DA PAVIMENTACAO NAS VIAS EM PARALELEPIPEDOS CONSTITUINTES DO SISTEMA VIARIO DA CIDADE DO RECIFE. LOTE I - RPA 1</v>
      </c>
      <c r="C15" s="14">
        <f>'1º TRIMESTRE'!C38</f>
        <v>0</v>
      </c>
      <c r="D15" s="14">
        <f>'1º TRIMESTRE'!D38</f>
        <v>0</v>
      </c>
      <c r="E15" s="14">
        <f>'1º TRIMESTRE'!E38</f>
        <v>0</v>
      </c>
      <c r="F15" s="14">
        <f>'1º TRIMESTRE'!F38</f>
        <v>0</v>
      </c>
      <c r="G15" s="14" t="str">
        <f>'1º TRIMESTRE'!G38</f>
        <v>10.811.370/0001-62</v>
      </c>
      <c r="H15" s="14" t="str">
        <f>'1º TRIMESTRE'!H38</f>
        <v>GUERRA CONSTRUCOES LTDA</v>
      </c>
      <c r="I15" s="14" t="str">
        <f>'1º TRIMESTRE'!I38</f>
        <v>6-007/21</v>
      </c>
      <c r="J15" s="14">
        <f>'1º TRIMESTRE'!J38</f>
        <v>44285</v>
      </c>
      <c r="K15" s="14">
        <f>'1º TRIMESTRE'!K38</f>
        <v>760</v>
      </c>
      <c r="L15" s="14">
        <f>'1º TRIMESTRE'!L38</f>
        <v>4242714.5</v>
      </c>
      <c r="M15" s="14">
        <f>'1º TRIMESTRE'!M38</f>
        <v>45045</v>
      </c>
      <c r="N15" s="14">
        <f>'1º TRIMESTRE'!N38</f>
        <v>0</v>
      </c>
      <c r="O15" s="14">
        <f>'1º TRIMESTRE'!O38</f>
        <v>0</v>
      </c>
      <c r="P15" s="14">
        <f>'1º TRIMESTRE'!P38</f>
        <v>0</v>
      </c>
      <c r="Q15" s="14" t="str">
        <f>'1º TRIMESTRE'!Q38</f>
        <v>3.3.90.39</v>
      </c>
      <c r="R15" s="14">
        <f>'1º TRIMESTRE'!R38</f>
        <v>629610.96</v>
      </c>
      <c r="S15" s="14">
        <f>'1º TRIMESTRE'!S38</f>
        <v>0</v>
      </c>
      <c r="T15" s="14">
        <f>'1º TRIMESTRE'!T38</f>
        <v>0</v>
      </c>
      <c r="U15" s="14" t="e">
        <f>'1º TRIMESTRE'!U38</f>
        <v>#REF!</v>
      </c>
      <c r="V15" s="14" t="str">
        <f>'1º TRIMESTRE'!V38</f>
        <v>andamento</v>
      </c>
      <c r="X15" s="39"/>
    </row>
    <row r="16" spans="1:29" ht="42.9">
      <c r="A16" s="14" t="str">
        <f>'1º TRIMESTRE'!A39</f>
        <v>CONCORRÊNCIA / nº 17/2020</v>
      </c>
      <c r="B16" s="14" t="str">
        <f>'1º TRIMESTRE'!B39</f>
        <v>CONTRATACAO DOS SERVICOS DE MANUTENCAO E RECUPERACAO DA PAVIMENTACAO NAS VIAS EM PARALELEPIPEDOS CONSTITUINTES DO SISTEMA VIARIO DA CIDADE DO RECIFE. LOTES II - RPA 2 E 3</v>
      </c>
      <c r="C16" s="14">
        <f>'1º TRIMESTRE'!C39</f>
        <v>0</v>
      </c>
      <c r="D16" s="14">
        <f>'1º TRIMESTRE'!D39</f>
        <v>0</v>
      </c>
      <c r="E16" s="14">
        <f>'1º TRIMESTRE'!E39</f>
        <v>0</v>
      </c>
      <c r="F16" s="14">
        <f>'1º TRIMESTRE'!F39</f>
        <v>0</v>
      </c>
      <c r="G16" s="14" t="str">
        <f>'1º TRIMESTRE'!G39</f>
        <v>07.086.088/0001-55</v>
      </c>
      <c r="H16" s="14" t="str">
        <f>'1º TRIMESTRE'!H39</f>
        <v>SOLO CONSTRUCOES E TERRAPLANAGEM LTDA</v>
      </c>
      <c r="I16" s="14" t="str">
        <f>'1º TRIMESTRE'!I39</f>
        <v>6-008/21</v>
      </c>
      <c r="J16" s="14">
        <f>'1º TRIMESTRE'!J39</f>
        <v>44285</v>
      </c>
      <c r="K16" s="14">
        <f>'1º TRIMESTRE'!K39</f>
        <v>760</v>
      </c>
      <c r="L16" s="14">
        <f>'1º TRIMESTRE'!L39</f>
        <v>5068725.74</v>
      </c>
      <c r="M16" s="14">
        <f>'1º TRIMESTRE'!M39</f>
        <v>45045</v>
      </c>
      <c r="N16" s="14">
        <f>'1º TRIMESTRE'!N39</f>
        <v>0</v>
      </c>
      <c r="O16" s="14">
        <f>'1º TRIMESTRE'!O39</f>
        <v>0</v>
      </c>
      <c r="P16" s="14">
        <f>'1º TRIMESTRE'!P39</f>
        <v>765001.36</v>
      </c>
      <c r="Q16" s="14" t="str">
        <f>'1º TRIMESTRE'!Q39</f>
        <v>3.3.90.39</v>
      </c>
      <c r="R16" s="14">
        <f>'1º TRIMESTRE'!R39</f>
        <v>1254282.26</v>
      </c>
      <c r="S16" s="14">
        <f>'1º TRIMESTRE'!S39</f>
        <v>39202.53</v>
      </c>
      <c r="T16" s="14">
        <f>'1º TRIMESTRE'!T39</f>
        <v>39202.53</v>
      </c>
      <c r="U16" s="14" t="e">
        <f>'1º TRIMESTRE'!U39</f>
        <v>#REF!</v>
      </c>
      <c r="V16" s="14" t="str">
        <f>'1º TRIMESTRE'!V39</f>
        <v>andamento</v>
      </c>
      <c r="X16" s="39"/>
    </row>
    <row r="17" spans="1:24" ht="42.9">
      <c r="A17" s="14" t="str">
        <f>'1º TRIMESTRE'!A40</f>
        <v>concorrência /nº 17/2020</v>
      </c>
      <c r="B17" s="14" t="str">
        <f>'1º TRIMESTRE'!B40</f>
        <v>CONTRATACAO DOS SERVICOS DE MANUTENCAO E RECUPERACAO DA PAVIMENTACAO NAS VIAS EM PARALELEPIPEDOS CONSTITUINTES DO SISTEMA VIARIO DA CIDADE DO RECIFE. LOTES III - RPA 4 E 5</v>
      </c>
      <c r="C17" s="14">
        <f>'1º TRIMESTRE'!C40</f>
        <v>0</v>
      </c>
      <c r="D17" s="14">
        <f>'1º TRIMESTRE'!D40</f>
        <v>0</v>
      </c>
      <c r="E17" s="14">
        <f>'1º TRIMESTRE'!E40</f>
        <v>0</v>
      </c>
      <c r="F17" s="14">
        <f>'1º TRIMESTRE'!F40</f>
        <v>0</v>
      </c>
      <c r="G17" s="14" t="str">
        <f>'1º TRIMESTRE'!G40</f>
        <v>05.625.079/0001-60</v>
      </c>
      <c r="H17" s="14" t="str">
        <f>'1º TRIMESTRE'!H40</f>
        <v xml:space="preserve">CONSTRUTORA MARDIFI LTDA - EPP </v>
      </c>
      <c r="I17" s="14" t="str">
        <f>'1º TRIMESTRE'!I40</f>
        <v>6-009/21</v>
      </c>
      <c r="J17" s="14">
        <f>'1º TRIMESTRE'!J40</f>
        <v>44285</v>
      </c>
      <c r="K17" s="14">
        <f>'1º TRIMESTRE'!K40</f>
        <v>760</v>
      </c>
      <c r="L17" s="14">
        <f>'1º TRIMESTRE'!L40</f>
        <v>7317745.6200000001</v>
      </c>
      <c r="M17" s="14">
        <f>'1º TRIMESTRE'!M40</f>
        <v>45045</v>
      </c>
      <c r="N17" s="14">
        <f>'1º TRIMESTRE'!N40</f>
        <v>0</v>
      </c>
      <c r="O17" s="14">
        <f>'1º TRIMESTRE'!O40</f>
        <v>132982.70000000001</v>
      </c>
      <c r="P17" s="14">
        <f>'1º TRIMESTRE'!P40</f>
        <v>1257436.68</v>
      </c>
      <c r="Q17" s="14" t="str">
        <f>'1º TRIMESTRE'!Q40</f>
        <v>3.3.90.39</v>
      </c>
      <c r="R17" s="14">
        <f>'1º TRIMESTRE'!R40</f>
        <v>901269.1</v>
      </c>
      <c r="S17" s="14">
        <f>'1º TRIMESTRE'!S40</f>
        <v>0</v>
      </c>
      <c r="T17" s="14">
        <f>'1º TRIMESTRE'!T40</f>
        <v>0</v>
      </c>
      <c r="U17" s="14" t="e">
        <f>'1º TRIMESTRE'!U40</f>
        <v>#REF!</v>
      </c>
      <c r="V17" s="14" t="str">
        <f>'1º TRIMESTRE'!V40</f>
        <v>andamento</v>
      </c>
      <c r="X17" s="39"/>
    </row>
    <row r="18" spans="1:24" ht="42.9">
      <c r="A18" s="14" t="str">
        <f>'1º TRIMESTRE'!A41</f>
        <v>concorrência /nº 17/2020</v>
      </c>
      <c r="B18" s="14" t="str">
        <f>'1º TRIMESTRE'!B41</f>
        <v>CONTRATACAO DOS SERVICOS DE MANUTENCAO E RECUPERACAO DA PAVIMENTACAO NAS VIAS EM PARALELEPIPEDOS CONSTITUINTES DO SISTEMA VIARIO DA CIDADE DO RECIFE. LOTES IV. - RPA 06</v>
      </c>
      <c r="C18" s="14">
        <f>'1º TRIMESTRE'!C41</f>
        <v>0</v>
      </c>
      <c r="D18" s="14">
        <f>'1º TRIMESTRE'!D41</f>
        <v>0</v>
      </c>
      <c r="E18" s="14">
        <f>'1º TRIMESTRE'!E41</f>
        <v>0</v>
      </c>
      <c r="F18" s="14">
        <f>'1º TRIMESTRE'!F41</f>
        <v>0</v>
      </c>
      <c r="G18" s="14" t="str">
        <f>'1º TRIMESTRE'!G41</f>
        <v>10.811.370/0001-62</v>
      </c>
      <c r="H18" s="14" t="str">
        <f>'1º TRIMESTRE'!H41</f>
        <v>GUERRA CONSTRUCOES LTDA</v>
      </c>
      <c r="I18" s="14" t="str">
        <f>'1º TRIMESTRE'!I41</f>
        <v>6-010/21</v>
      </c>
      <c r="J18" s="14">
        <f>'1º TRIMESTRE'!J41</f>
        <v>44285</v>
      </c>
      <c r="K18" s="14">
        <f>'1º TRIMESTRE'!K41</f>
        <v>760</v>
      </c>
      <c r="L18" s="14">
        <f>'1º TRIMESTRE'!L41</f>
        <v>6534905.3499999996</v>
      </c>
      <c r="M18" s="14">
        <f>'1º TRIMESTRE'!M41</f>
        <v>45045</v>
      </c>
      <c r="N18" s="14">
        <f>'1º TRIMESTRE'!N41</f>
        <v>0</v>
      </c>
      <c r="O18" s="14">
        <f>'1º TRIMESTRE'!O41</f>
        <v>0</v>
      </c>
      <c r="P18" s="14">
        <f>'1º TRIMESTRE'!P41</f>
        <v>0</v>
      </c>
      <c r="Q18" s="14" t="str">
        <f>'1º TRIMESTRE'!Q41</f>
        <v>3.3.90.39</v>
      </c>
      <c r="R18" s="14">
        <f>'1º TRIMESTRE'!R41</f>
        <v>1928911.7999999998</v>
      </c>
      <c r="S18" s="14">
        <f>'1º TRIMESTRE'!S41</f>
        <v>326655.13</v>
      </c>
      <c r="T18" s="14">
        <f>'1º TRIMESTRE'!T41</f>
        <v>326655.13</v>
      </c>
      <c r="U18" s="14" t="e">
        <f>'1º TRIMESTRE'!U41</f>
        <v>#REF!</v>
      </c>
      <c r="V18" s="14" t="str">
        <f>'1º TRIMESTRE'!V41</f>
        <v>andamento</v>
      </c>
      <c r="X18" s="39"/>
    </row>
    <row r="19" spans="1:24" ht="42.9">
      <c r="A19" s="14" t="str">
        <f>'1º TRIMESTRE'!A42</f>
        <v>INEX 9/2021</v>
      </c>
      <c r="B19" s="14" t="str">
        <f>'1º TRIMESTRE'!B42</f>
        <v>CONTRATACAO DOS SERVICOS DE MANUTENCAO PREVENTIVA DO SISTEMA DE MACRODRENAGEM PELO PROCESSO DE BARRAGEM MOVEL EM DIVERSOS CANAIS DA CIDADE DO RECIFE</v>
      </c>
      <c r="C19" s="14">
        <f>'1º TRIMESTRE'!C42</f>
        <v>0</v>
      </c>
      <c r="D19" s="14">
        <f>'1º TRIMESTRE'!D42</f>
        <v>0</v>
      </c>
      <c r="E19" s="14">
        <f>'1º TRIMESTRE'!E42</f>
        <v>0</v>
      </c>
      <c r="F19" s="14">
        <f>'1º TRIMESTRE'!F42</f>
        <v>0</v>
      </c>
      <c r="G19" s="14" t="str">
        <f>'1º TRIMESTRE'!G42</f>
        <v>03.366.083/0001-25</v>
      </c>
      <c r="H19" s="14" t="str">
        <f>'1º TRIMESTRE'!H42</f>
        <v>HIDROMAX CONSTRUÇOES LTDA</v>
      </c>
      <c r="I19" s="14" t="str">
        <f>'1º TRIMESTRE'!I42</f>
        <v>6-012/21</v>
      </c>
      <c r="J19" s="14">
        <f>'1º TRIMESTRE'!J42</f>
        <v>44354</v>
      </c>
      <c r="K19" s="14">
        <f>'1º TRIMESTRE'!K42</f>
        <v>760</v>
      </c>
      <c r="L19" s="14">
        <f>'1º TRIMESTRE'!L42</f>
        <v>1940544.76</v>
      </c>
      <c r="M19" s="14">
        <f>'1º TRIMESTRE'!M42</f>
        <v>45114</v>
      </c>
      <c r="N19" s="14">
        <f>'1º TRIMESTRE'!N42</f>
        <v>0</v>
      </c>
      <c r="O19" s="14">
        <f>'1º TRIMESTRE'!O42</f>
        <v>27154</v>
      </c>
      <c r="P19" s="14">
        <f>'1º TRIMESTRE'!P42</f>
        <v>0</v>
      </c>
      <c r="Q19" s="14" t="str">
        <f>'1º TRIMESTRE'!Q42</f>
        <v>3.3.90.39</v>
      </c>
      <c r="R19" s="14">
        <f>'1º TRIMESTRE'!R42</f>
        <v>530428.34</v>
      </c>
      <c r="S19" s="14">
        <f>'1º TRIMESTRE'!S42</f>
        <v>195586.83</v>
      </c>
      <c r="T19" s="14">
        <f>'1º TRIMESTRE'!T42</f>
        <v>195586.83</v>
      </c>
      <c r="U19" s="14" t="e">
        <f>'1º TRIMESTRE'!U42</f>
        <v>#REF!</v>
      </c>
      <c r="V19" s="14" t="str">
        <f>'1º TRIMESTRE'!V42</f>
        <v>andamento</v>
      </c>
      <c r="X19" s="39"/>
    </row>
    <row r="20" spans="1:24" ht="42.9">
      <c r="A20" s="14" t="str">
        <f>'1º TRIMESTRE'!A13</f>
        <v> PREGÃO PRESENCIAL Licitação: 4/2017</v>
      </c>
      <c r="B20" s="14" t="str">
        <f>'1º TRIMESTRE'!B13</f>
        <v>SERVIÇOS ESPECIALIZADOS DE ENGENHARIA AGRONÔMICA COM SERVIÇOS DE MANUTENÇÃO DE ARBORETO, PARQUES, PRAÇAS E DEMAIS ÁREAS VERDES</v>
      </c>
      <c r="C20" s="14">
        <f>'1º TRIMESTRE'!C13</f>
        <v>0</v>
      </c>
      <c r="D20" s="14">
        <f>'1º TRIMESTRE'!D13</f>
        <v>0</v>
      </c>
      <c r="E20" s="14">
        <f>'1º TRIMESTRE'!E13</f>
        <v>0</v>
      </c>
      <c r="F20" s="14">
        <f>'1º TRIMESTRE'!F13</f>
        <v>0</v>
      </c>
      <c r="G20" s="14" t="str">
        <f>'1º TRIMESTRE'!G13</f>
        <v>00.449.936/0001-02</v>
      </c>
      <c r="H20" s="14" t="str">
        <f>'1º TRIMESTRE'!H13</f>
        <v>ENGEMAIA E CIA LTDA</v>
      </c>
      <c r="I20" s="14" t="str">
        <f>'1º TRIMESTRE'!I13</f>
        <v>6-013/17</v>
      </c>
      <c r="J20" s="14">
        <f>'1º TRIMESTRE'!J13</f>
        <v>42940</v>
      </c>
      <c r="K20" s="14">
        <f>'1º TRIMESTRE'!K13</f>
        <v>365</v>
      </c>
      <c r="L20" s="14">
        <f>'1º TRIMESTRE'!L13</f>
        <v>11944999.92</v>
      </c>
      <c r="M20" s="14">
        <f>'1º TRIMESTRE'!M13</f>
        <v>44765</v>
      </c>
      <c r="N20" s="14">
        <f>'1º TRIMESTRE'!N13</f>
        <v>1460</v>
      </c>
      <c r="O20" s="14">
        <f>'1º TRIMESTRE'!O13</f>
        <v>60684020.43</v>
      </c>
      <c r="P20" s="14">
        <f>'1º TRIMESTRE'!P13</f>
        <v>1492079.88</v>
      </c>
      <c r="Q20" s="14" t="str">
        <f>'1º TRIMESTRE'!Q13</f>
        <v>3.3.90.39</v>
      </c>
      <c r="R20" s="14">
        <f>'1º TRIMESTRE'!R13</f>
        <v>43354359.949999996</v>
      </c>
      <c r="S20" s="14">
        <f>'1º TRIMESTRE'!S13</f>
        <v>2498941.87</v>
      </c>
      <c r="T20" s="14">
        <f>'1º TRIMESTRE'!T13</f>
        <v>2498941.87</v>
      </c>
      <c r="U20" s="14" t="e">
        <f>'1º TRIMESTRE'!U13</f>
        <v>#REF!</v>
      </c>
      <c r="V20" s="14" t="str">
        <f>'1º TRIMESTRE'!V13</f>
        <v>andamento</v>
      </c>
      <c r="X20" s="39"/>
    </row>
    <row r="21" spans="1:24" ht="32.15">
      <c r="A21" s="14" t="str">
        <f>'1º TRIMESTRE'!A19</f>
        <v>TOMADA DE PREÇOS Licitação: 1/2020</v>
      </c>
      <c r="B21" s="14" t="str">
        <f>'1º TRIMESTRE'!B19</f>
        <v>PRESTAÇÃO DE SERVIÇO DE MANUTENÇÃO E RECUPERAÇÃO AMBIENTAL DO ATERRO CONTROLADO DA MURIBECA</v>
      </c>
      <c r="C21" s="14">
        <f>'1º TRIMESTRE'!C19</f>
        <v>0</v>
      </c>
      <c r="D21" s="14">
        <f>'1º TRIMESTRE'!D19</f>
        <v>0</v>
      </c>
      <c r="E21" s="14">
        <f>'1º TRIMESTRE'!E19</f>
        <v>0</v>
      </c>
      <c r="F21" s="14">
        <f>'1º TRIMESTRE'!F19</f>
        <v>0</v>
      </c>
      <c r="G21" s="14" t="str">
        <f>'1º TRIMESTRE'!G19</f>
        <v>07.693.988/0001-60</v>
      </c>
      <c r="H21" s="14" t="str">
        <f>'1º TRIMESTRE'!H19</f>
        <v>F R F ENGENHARIA LTDA</v>
      </c>
      <c r="I21" s="14" t="str">
        <f>'1º TRIMESTRE'!I19</f>
        <v>6-013/20</v>
      </c>
      <c r="J21" s="14">
        <f>'1º TRIMESTRE'!J19</f>
        <v>44007</v>
      </c>
      <c r="K21" s="14">
        <f>'1º TRIMESTRE'!K19</f>
        <v>760</v>
      </c>
      <c r="L21" s="14">
        <f>'1º TRIMESTRE'!L19</f>
        <v>1152030.3799999999</v>
      </c>
      <c r="M21" s="14">
        <f>'1º TRIMESTRE'!M19</f>
        <v>44767</v>
      </c>
      <c r="N21" s="14">
        <f>'1º TRIMESTRE'!N19</f>
        <v>0</v>
      </c>
      <c r="O21" s="14">
        <f>'1º TRIMESTRE'!O19</f>
        <v>0</v>
      </c>
      <c r="P21" s="14">
        <f>'1º TRIMESTRE'!P19</f>
        <v>0</v>
      </c>
      <c r="Q21" s="14" t="str">
        <f>'1º TRIMESTRE'!Q19</f>
        <v>3.3.90.39</v>
      </c>
      <c r="R21" s="14">
        <f>'1º TRIMESTRE'!R19</f>
        <v>759661.24</v>
      </c>
      <c r="S21" s="14">
        <f>'1º TRIMESTRE'!S19</f>
        <v>90735.72</v>
      </c>
      <c r="T21" s="14">
        <f>'1º TRIMESTRE'!T19</f>
        <v>90735.72</v>
      </c>
      <c r="U21" s="14" t="e">
        <f>'1º TRIMESTRE'!U19</f>
        <v>#REF!</v>
      </c>
      <c r="V21" s="14" t="str">
        <f>'1º TRIMESTRE'!V19</f>
        <v>andamento</v>
      </c>
      <c r="X21" s="39"/>
    </row>
    <row r="22" spans="1:24" ht="53.6">
      <c r="A22" s="14" t="str">
        <f>'1º TRIMESTRE'!A43</f>
        <v>concorrência /nº 001/2021</v>
      </c>
      <c r="B22" s="14" t="str">
        <f>'1º TRIMESTRE'!B43</f>
        <v>CONTRATACAO DE EMPRESA DE ENGENHARIA ESPECIALIZADA. PARA A OPERACAO. AUTOMACAO E MANUTENCAO ELETRICA E MECANICA DAS ESTACOES DE BOMBEAMENTO E COMPORTAS DA CIDADE DO RECIFE</v>
      </c>
      <c r="C22" s="14">
        <f>'1º TRIMESTRE'!C43</f>
        <v>0</v>
      </c>
      <c r="D22" s="14">
        <f>'1º TRIMESTRE'!D43</f>
        <v>0</v>
      </c>
      <c r="E22" s="14">
        <f>'1º TRIMESTRE'!E43</f>
        <v>0</v>
      </c>
      <c r="F22" s="14">
        <f>'1º TRIMESTRE'!F43</f>
        <v>0</v>
      </c>
      <c r="G22" s="14" t="str">
        <f>'1º TRIMESTRE'!G43</f>
        <v>41.116.138/0001-38</v>
      </c>
      <c r="H22" s="14" t="str">
        <f>'1º TRIMESTRE'!H43</f>
        <v>REAL ENERGY LTDA</v>
      </c>
      <c r="I22" s="14" t="str">
        <f>'1º TRIMESTRE'!I43</f>
        <v>6-014/21</v>
      </c>
      <c r="J22" s="14">
        <f>'1º TRIMESTRE'!J43</f>
        <v>44347</v>
      </c>
      <c r="K22" s="14">
        <f>'1º TRIMESTRE'!K43</f>
        <v>790</v>
      </c>
      <c r="L22" s="14">
        <f>'1º TRIMESTRE'!L43</f>
        <v>3652773.14</v>
      </c>
      <c r="M22" s="14">
        <f>'1º TRIMESTRE'!M43</f>
        <v>45137</v>
      </c>
      <c r="N22" s="14">
        <f>'1º TRIMESTRE'!N43</f>
        <v>0</v>
      </c>
      <c r="O22" s="14">
        <f>'1º TRIMESTRE'!O43</f>
        <v>0</v>
      </c>
      <c r="P22" s="14">
        <f>'1º TRIMESTRE'!P43</f>
        <v>0</v>
      </c>
      <c r="Q22" s="14" t="str">
        <f>'1º TRIMESTRE'!Q43</f>
        <v>3.3.90.39</v>
      </c>
      <c r="R22" s="14">
        <f>'1º TRIMESTRE'!R43</f>
        <v>1031327.5900000001</v>
      </c>
      <c r="S22" s="14">
        <f>'1º TRIMESTRE'!S43</f>
        <v>293975.21000000002</v>
      </c>
      <c r="T22" s="14">
        <f>'1º TRIMESTRE'!T43</f>
        <v>293975.21000000002</v>
      </c>
      <c r="U22" s="14" t="e">
        <f>'1º TRIMESTRE'!U43</f>
        <v>#REF!</v>
      </c>
      <c r="V22" s="14" t="str">
        <f>'1º TRIMESTRE'!V43</f>
        <v>andamento</v>
      </c>
      <c r="X22" s="39"/>
    </row>
    <row r="23" spans="1:24" ht="32.15">
      <c r="A23" s="14" t="str">
        <f>'1º TRIMESTRE'!A20</f>
        <v>CONCORRÊNCIA / nº 19/2019</v>
      </c>
      <c r="B23" s="14" t="str">
        <f>'1º TRIMESTRE'!B20</f>
        <v>SERVIÇO DE MANUTENÇÃO DO SISTEMA DE MICRODRENAGEM DE AGUAS PLUVIAIS EM TODAS AS RPAS DA CIDADE DO RECIFE - 04 E 05</v>
      </c>
      <c r="C23" s="14">
        <f>'1º TRIMESTRE'!C20</f>
        <v>0</v>
      </c>
      <c r="D23" s="14">
        <f>'1º TRIMESTRE'!D20</f>
        <v>0</v>
      </c>
      <c r="E23" s="14">
        <f>'1º TRIMESTRE'!E20</f>
        <v>0</v>
      </c>
      <c r="F23" s="14">
        <f>'1º TRIMESTRE'!F20</f>
        <v>0</v>
      </c>
      <c r="G23" s="14" t="str">
        <f>'1º TRIMESTRE'!G20</f>
        <v>01.514.128/0001-36</v>
      </c>
      <c r="H23" s="14" t="str">
        <f>'1º TRIMESTRE'!H20</f>
        <v>SCAVE SERVICOS DE ENGENHARIA E LOCACAO LTDA</v>
      </c>
      <c r="I23" s="14" t="str">
        <f>'1º TRIMESTRE'!I20</f>
        <v>6-015/20</v>
      </c>
      <c r="J23" s="14">
        <f>'1º TRIMESTRE'!J20</f>
        <v>43997</v>
      </c>
      <c r="K23" s="14">
        <f>'1º TRIMESTRE'!K20</f>
        <v>1125</v>
      </c>
      <c r="L23" s="14">
        <f>'1º TRIMESTRE'!L20</f>
        <v>17094320.969999999</v>
      </c>
      <c r="M23" s="14">
        <f>'1º TRIMESTRE'!M20</f>
        <v>45122</v>
      </c>
      <c r="N23" s="14">
        <f>'1º TRIMESTRE'!N20</f>
        <v>0</v>
      </c>
      <c r="O23" s="14">
        <f>'1º TRIMESTRE'!O20</f>
        <v>3011427.7</v>
      </c>
      <c r="P23" s="14">
        <f>'1º TRIMESTRE'!P20</f>
        <v>2353695.85</v>
      </c>
      <c r="Q23" s="14" t="str">
        <f>'1º TRIMESTRE'!Q20</f>
        <v>3.3.90.39</v>
      </c>
      <c r="R23" s="14">
        <f>'1º TRIMESTRE'!R20</f>
        <v>12371244.9</v>
      </c>
      <c r="S23" s="14">
        <f>'1º TRIMESTRE'!S20</f>
        <v>673777.29</v>
      </c>
      <c r="T23" s="14">
        <f>'1º TRIMESTRE'!T20</f>
        <v>673777.29</v>
      </c>
      <c r="U23" s="14" t="e">
        <f>'1º TRIMESTRE'!U20</f>
        <v>#REF!</v>
      </c>
      <c r="V23" s="14" t="str">
        <f>'1º TRIMESTRE'!V20</f>
        <v>andamento</v>
      </c>
      <c r="X23" s="39"/>
    </row>
    <row r="24" spans="1:24" ht="32.15">
      <c r="A24" s="14" t="str">
        <f>'1º TRIMESTRE'!A44</f>
        <v>concorrência /nº 015/2020</v>
      </c>
      <c r="B24" s="14" t="str">
        <f>'1º TRIMESTRE'!B44</f>
        <v>SERVIÇOS DE RECUPERAÇÃO DE VIAS URBANAS PAVIMENTAS EM CONCRETO DE CIMENTO PORTLAND EM TRECHOS DE VIAS NAS RPA'S 1 A 6</v>
      </c>
      <c r="C24" s="14">
        <f>'1º TRIMESTRE'!C44</f>
        <v>0</v>
      </c>
      <c r="D24" s="14">
        <f>'1º TRIMESTRE'!D44</f>
        <v>0</v>
      </c>
      <c r="E24" s="14">
        <f>'1º TRIMESTRE'!E44</f>
        <v>0</v>
      </c>
      <c r="F24" s="14">
        <f>'1º TRIMESTRE'!F44</f>
        <v>0</v>
      </c>
      <c r="G24" s="14" t="str">
        <f>'1º TRIMESTRE'!G44</f>
        <v>00.338.885/0001-33</v>
      </c>
      <c r="H24" s="14" t="str">
        <f>'1º TRIMESTRE'!H44</f>
        <v>NOVATEC CONSTRUCOES E EMPREENDIMENTOS LTDA</v>
      </c>
      <c r="I24" s="14" t="str">
        <f>'1º TRIMESTRE'!I44</f>
        <v>6-015/21</v>
      </c>
      <c r="J24" s="14">
        <f>'1º TRIMESTRE'!J44</f>
        <v>44363</v>
      </c>
      <c r="K24" s="14">
        <f>'1º TRIMESTRE'!K44</f>
        <v>790</v>
      </c>
      <c r="L24" s="14">
        <f>'1º TRIMESTRE'!L44</f>
        <v>8412130.0600000005</v>
      </c>
      <c r="M24" s="14">
        <f>'1º TRIMESTRE'!M44</f>
        <v>45153</v>
      </c>
      <c r="N24" s="14">
        <f>'1º TRIMESTRE'!N44</f>
        <v>0</v>
      </c>
      <c r="O24" s="14">
        <f>'1º TRIMESTRE'!O44</f>
        <v>0</v>
      </c>
      <c r="P24" s="14">
        <f>'1º TRIMESTRE'!P44</f>
        <v>0</v>
      </c>
      <c r="Q24" s="14" t="str">
        <f>'1º TRIMESTRE'!Q44</f>
        <v>3.3.90.39</v>
      </c>
      <c r="R24" s="14">
        <f>'1º TRIMESTRE'!R44</f>
        <v>2461731.2000000002</v>
      </c>
      <c r="S24" s="14">
        <f>'1º TRIMESTRE'!S44</f>
        <v>1002965.45</v>
      </c>
      <c r="T24" s="14">
        <f>'1º TRIMESTRE'!T44</f>
        <v>1002965.45</v>
      </c>
      <c r="U24" s="14" t="e">
        <f>'1º TRIMESTRE'!U44</f>
        <v>#REF!</v>
      </c>
      <c r="V24" s="14" t="str">
        <f>'1º TRIMESTRE'!V44</f>
        <v>andamento</v>
      </c>
      <c r="X24" s="39"/>
    </row>
    <row r="25" spans="1:24" ht="32.15">
      <c r="A25" s="14" t="str">
        <f>'1º TRIMESTRE'!A21</f>
        <v>CONCORRÊNCIA / nº 19/2019</v>
      </c>
      <c r="B25" s="14" t="str">
        <f>'1º TRIMESTRE'!B21</f>
        <v>SERVIÇO DE MANUTENÇÃO DO SISTEMA DE MICRODRENAGEM DE AGUAS PLUVIAIS EM TODAS AS RPAS DO RECIFE - RPA 06</v>
      </c>
      <c r="C25" s="14">
        <f>'1º TRIMESTRE'!C21</f>
        <v>0</v>
      </c>
      <c r="D25" s="14">
        <f>'1º TRIMESTRE'!D21</f>
        <v>0</v>
      </c>
      <c r="E25" s="14">
        <f>'1º TRIMESTRE'!E21</f>
        <v>0</v>
      </c>
      <c r="F25" s="14">
        <f>'1º TRIMESTRE'!F21</f>
        <v>0</v>
      </c>
      <c r="G25" s="14" t="str">
        <f>'1º TRIMESTRE'!G21</f>
        <v>10.811.370/0001-62</v>
      </c>
      <c r="H25" s="14" t="str">
        <f>'1º TRIMESTRE'!H21</f>
        <v>GUERRA CONSTRUCOES LTDA</v>
      </c>
      <c r="I25" s="14" t="str">
        <f>'1º TRIMESTRE'!I21</f>
        <v>6-016/20</v>
      </c>
      <c r="J25" s="14">
        <f>'1º TRIMESTRE'!J21</f>
        <v>43997</v>
      </c>
      <c r="K25" s="14">
        <f>'1º TRIMESTRE'!K21</f>
        <v>1125</v>
      </c>
      <c r="L25" s="14">
        <f>'1º TRIMESTRE'!L21</f>
        <v>18840293.850000001</v>
      </c>
      <c r="M25" s="14">
        <f>'1º TRIMESTRE'!M21</f>
        <v>45122</v>
      </c>
      <c r="N25" s="14">
        <f>'1º TRIMESTRE'!N21</f>
        <v>0</v>
      </c>
      <c r="O25" s="14">
        <f>'1º TRIMESTRE'!O21</f>
        <v>3429757.7</v>
      </c>
      <c r="P25" s="14">
        <f>'1º TRIMESTRE'!P21</f>
        <v>2594739.9900000002</v>
      </c>
      <c r="Q25" s="14" t="str">
        <f>'1º TRIMESTRE'!Q21</f>
        <v>3.3.90.39</v>
      </c>
      <c r="R25" s="14">
        <f>'1º TRIMESTRE'!R21</f>
        <v>12836219.42</v>
      </c>
      <c r="S25" s="14">
        <f>'1º TRIMESTRE'!S21</f>
        <v>1230404.19</v>
      </c>
      <c r="T25" s="14">
        <f>'1º TRIMESTRE'!T21</f>
        <v>1230404.19</v>
      </c>
      <c r="U25" s="14" t="e">
        <f>'1º TRIMESTRE'!U21</f>
        <v>#REF!</v>
      </c>
      <c r="V25" s="14" t="str">
        <f>'1º TRIMESTRE'!V21</f>
        <v>andamento</v>
      </c>
      <c r="X25" s="39"/>
    </row>
    <row r="26" spans="1:24" ht="32.15">
      <c r="A26" s="14" t="str">
        <f>'1º TRIMESTRE'!A14</f>
        <v>CONCORRÊNCIA Licitação: 10/2018</v>
      </c>
      <c r="B26" s="14" t="str">
        <f>'1º TRIMESTRE'!B14</f>
        <v>SERVIÇOS DE MANUTENÇÃO PREVENTIVA DO SISTEMA DE MACRODRENAGEM EM TODAS AS RPA'S DA CIDADE DO RECIFE - RPA 01 E 06</v>
      </c>
      <c r="C26" s="14" t="str">
        <f>'1º TRIMESTRE'!C14</f>
        <v>495721/2018 e 535346/2020</v>
      </c>
      <c r="D26" s="14" t="str">
        <f>'1º TRIMESTRE'!D14</f>
        <v>FINISA</v>
      </c>
      <c r="E26" s="14">
        <f>'1º TRIMESTRE'!E14</f>
        <v>184899815.11999997</v>
      </c>
      <c r="F26" s="14">
        <f>'1º TRIMESTRE'!F14</f>
        <v>0</v>
      </c>
      <c r="G26" s="14" t="str">
        <f>'1º TRIMESTRE'!G14</f>
        <v>01.514.128/0001-36</v>
      </c>
      <c r="H26" s="14" t="str">
        <f>'1º TRIMESTRE'!H14</f>
        <v>SCAVE SERVICOS DE ENGENHARIA E LOCACAO LTDA</v>
      </c>
      <c r="I26" s="14" t="str">
        <f>'1º TRIMESTRE'!I14</f>
        <v>6-017/19</v>
      </c>
      <c r="J26" s="14">
        <f>'1º TRIMESTRE'!J14</f>
        <v>43571</v>
      </c>
      <c r="K26" s="14">
        <f>'1º TRIMESTRE'!K14</f>
        <v>1125</v>
      </c>
      <c r="L26" s="14">
        <f>'1º TRIMESTRE'!L14</f>
        <v>10309281.699999999</v>
      </c>
      <c r="M26" s="14">
        <f>'1º TRIMESTRE'!M14</f>
        <v>44696</v>
      </c>
      <c r="N26" s="14">
        <f>'1º TRIMESTRE'!N14</f>
        <v>0</v>
      </c>
      <c r="O26" s="14">
        <f>'1º TRIMESTRE'!O14</f>
        <v>0</v>
      </c>
      <c r="P26" s="14">
        <f>'1º TRIMESTRE'!P14</f>
        <v>2800566.42</v>
      </c>
      <c r="Q26" s="14" t="str">
        <f>'1º TRIMESTRE'!Q14</f>
        <v>4.4.90.39</v>
      </c>
      <c r="R26" s="14">
        <f>'1º TRIMESTRE'!R14</f>
        <v>5387830.7699999996</v>
      </c>
      <c r="S26" s="14">
        <f>'1º TRIMESTRE'!S14</f>
        <v>423975.98</v>
      </c>
      <c r="T26" s="14">
        <f>'1º TRIMESTRE'!T14</f>
        <v>423975.98</v>
      </c>
      <c r="U26" s="14" t="e">
        <f>'1º TRIMESTRE'!U14</f>
        <v>#REF!</v>
      </c>
      <c r="V26" s="14" t="str">
        <f>'1º TRIMESTRE'!V14</f>
        <v>andamento</v>
      </c>
      <c r="X26" s="39"/>
    </row>
    <row r="27" spans="1:24" ht="32.15">
      <c r="A27" s="14" t="str">
        <f>'1º TRIMESTRE'!A15</f>
        <v>CONCORRÊNCIA Licitação: 10/2018</v>
      </c>
      <c r="B27" s="14" t="str">
        <f>'1º TRIMESTRE'!B15</f>
        <v>SERVIÇOS DE MANUTENÇÃO PREVENTIVA DO SISTEMA DE MACRODRENAGEM EM TODAS AS RPA'S DA CIDADE DO RECIFE - RPA 02 e 03</v>
      </c>
      <c r="C27" s="14" t="str">
        <f>'1º TRIMESTRE'!C15</f>
        <v>495721/2018 e 535346/2020</v>
      </c>
      <c r="D27" s="14" t="str">
        <f>'1º TRIMESTRE'!D15</f>
        <v>FINISA</v>
      </c>
      <c r="E27" s="14">
        <f>'1º TRIMESTRE'!E15</f>
        <v>184899815.11999997</v>
      </c>
      <c r="F27" s="14">
        <f>'1º TRIMESTRE'!F15</f>
        <v>0</v>
      </c>
      <c r="G27" s="14" t="str">
        <f>'1º TRIMESTRE'!G15</f>
        <v>01.514.128/0001-36</v>
      </c>
      <c r="H27" s="14" t="str">
        <f>'1º TRIMESTRE'!H15</f>
        <v>SCAVE SERVICOS DE ENGENHARIA E LOCACAO LTDA</v>
      </c>
      <c r="I27" s="14" t="str">
        <f>'1º TRIMESTRE'!I15</f>
        <v>6-018/19</v>
      </c>
      <c r="J27" s="14">
        <f>'1º TRIMESTRE'!J15</f>
        <v>43571</v>
      </c>
      <c r="K27" s="14">
        <f>'1º TRIMESTRE'!K15</f>
        <v>1125</v>
      </c>
      <c r="L27" s="14">
        <f>'1º TRIMESTRE'!L15</f>
        <v>11446659.060000001</v>
      </c>
      <c r="M27" s="14">
        <f>'1º TRIMESTRE'!M15</f>
        <v>44696</v>
      </c>
      <c r="N27" s="14">
        <f>'1º TRIMESTRE'!N15</f>
        <v>0</v>
      </c>
      <c r="O27" s="14">
        <f>'1º TRIMESTRE'!O15</f>
        <v>5430.8</v>
      </c>
      <c r="P27" s="14">
        <f>'1º TRIMESTRE'!P15</f>
        <v>1849376.19</v>
      </c>
      <c r="Q27" s="14" t="str">
        <f>'1º TRIMESTRE'!Q15</f>
        <v>4.4.90.39</v>
      </c>
      <c r="R27" s="14">
        <f>'1º TRIMESTRE'!R15</f>
        <v>5506715.7800000003</v>
      </c>
      <c r="S27" s="14">
        <f>'1º TRIMESTRE'!S15</f>
        <v>728444.13</v>
      </c>
      <c r="T27" s="14">
        <f>'1º TRIMESTRE'!T15</f>
        <v>728444.13</v>
      </c>
      <c r="U27" s="14" t="e">
        <f>'1º TRIMESTRE'!U15</f>
        <v>#REF!</v>
      </c>
      <c r="V27" s="14" t="str">
        <f>'1º TRIMESTRE'!V15</f>
        <v>andamento</v>
      </c>
      <c r="X27" s="39"/>
    </row>
    <row r="28" spans="1:24" ht="42.9">
      <c r="A28" s="14" t="str">
        <f>'1º TRIMESTRE'!A22</f>
        <v>DISP 3/2020</v>
      </c>
      <c r="B28" s="14" t="str">
        <f>'1º TRIMESTRE'!B22</f>
        <v>MONITORAMENTO AMBIENTAL DO ATERRO CONTROLADO DA MURIBECA E SERVIÇOS DE CONSULTORIA TECNOLÓGICA PARA TRATAMENTO DE RESÍDUOS SÓLIDOS URBANOS</v>
      </c>
      <c r="C28" s="14">
        <f>'1º TRIMESTRE'!C22</f>
        <v>0</v>
      </c>
      <c r="D28" s="14">
        <f>'1º TRIMESTRE'!D22</f>
        <v>0</v>
      </c>
      <c r="E28" s="14">
        <f>'1º TRIMESTRE'!E22</f>
        <v>0</v>
      </c>
      <c r="F28" s="14">
        <f>'1º TRIMESTRE'!F22</f>
        <v>0</v>
      </c>
      <c r="G28" s="14" t="str">
        <f>'1º TRIMESTRE'!G22</f>
        <v>11.187.606/0001-02</v>
      </c>
      <c r="H28" s="14" t="str">
        <f>'1º TRIMESTRE'!H22</f>
        <v xml:space="preserve">ATEPE ASSOCIACAO TECNOLOGICA DE PERNAMBUCO                  </v>
      </c>
      <c r="I28" s="14" t="str">
        <f>'1º TRIMESTRE'!I22</f>
        <v>6-018/20</v>
      </c>
      <c r="J28" s="14">
        <f>'1º TRIMESTRE'!J22</f>
        <v>44007</v>
      </c>
      <c r="K28" s="14">
        <f>'1º TRIMESTRE'!K22</f>
        <v>365</v>
      </c>
      <c r="L28" s="14">
        <f>'1º TRIMESTRE'!L22</f>
        <v>251180</v>
      </c>
      <c r="M28" s="14">
        <f>'1º TRIMESTRE'!M22</f>
        <v>44737</v>
      </c>
      <c r="N28" s="14">
        <f>'1º TRIMESTRE'!N22</f>
        <v>365</v>
      </c>
      <c r="O28" s="14">
        <f>'1º TRIMESTRE'!O22</f>
        <v>251180</v>
      </c>
      <c r="P28" s="14">
        <f>'1º TRIMESTRE'!P22</f>
        <v>0</v>
      </c>
      <c r="Q28" s="14" t="str">
        <f>'1º TRIMESTRE'!Q22</f>
        <v>3.3.90.39</v>
      </c>
      <c r="R28" s="14">
        <f>'1º TRIMESTRE'!R22</f>
        <v>329871</v>
      </c>
      <c r="S28" s="14">
        <f>'1º TRIMESTRE'!S22</f>
        <v>31040</v>
      </c>
      <c r="T28" s="14">
        <f>'1º TRIMESTRE'!T22</f>
        <v>31040</v>
      </c>
      <c r="U28" s="14" t="e">
        <f>'1º TRIMESTRE'!U22</f>
        <v>#REF!</v>
      </c>
      <c r="V28" s="14" t="str">
        <f>'1º TRIMESTRE'!V22</f>
        <v>andamento</v>
      </c>
      <c r="X28" s="39"/>
    </row>
    <row r="29" spans="1:24" ht="32.15">
      <c r="A29" s="14" t="str">
        <f>'1º TRIMESTRE'!A45</f>
        <v>concorrência /nº 004/2021</v>
      </c>
      <c r="B29" s="14" t="str">
        <f>'1º TRIMESTRE'!B45</f>
        <v>RECUPERAÇÃO DE PASSEIOS COM IMPLANTAÇÃO DE ACESSIBILIDADE EM VARIAS VIAS E LOCAIS DO RECIFE</v>
      </c>
      <c r="C29" s="14" t="str">
        <f>'1º TRIMESTRE'!C45</f>
        <v>535346/2020</v>
      </c>
      <c r="D29" s="14" t="str">
        <f>'1º TRIMESTRE'!D45</f>
        <v>FINISA</v>
      </c>
      <c r="E29" s="14">
        <f>'1º TRIMESTRE'!E45</f>
        <v>94508747.5</v>
      </c>
      <c r="F29" s="14">
        <f>'1º TRIMESTRE'!F45</f>
        <v>0</v>
      </c>
      <c r="G29" s="14" t="str">
        <f>'1º TRIMESTRE'!G45</f>
        <v>03.608.944/0001-34</v>
      </c>
      <c r="H29" s="14" t="str">
        <f>'1º TRIMESTRE'!H45</f>
        <v>JEPAC CONSTRUCOES LTDA</v>
      </c>
      <c r="I29" s="14" t="str">
        <f>'1º TRIMESTRE'!I45</f>
        <v>6-018/21</v>
      </c>
      <c r="J29" s="14">
        <f>'1º TRIMESTRE'!J45</f>
        <v>44361</v>
      </c>
      <c r="K29" s="14">
        <f>'1º TRIMESTRE'!K45</f>
        <v>790</v>
      </c>
      <c r="L29" s="14">
        <f>'1º TRIMESTRE'!L45</f>
        <v>6770337.1399999997</v>
      </c>
      <c r="M29" s="14">
        <f>'1º TRIMESTRE'!M45</f>
        <v>45151</v>
      </c>
      <c r="N29" s="14">
        <f>'1º TRIMESTRE'!N45</f>
        <v>0</v>
      </c>
      <c r="O29" s="14">
        <f>'1º TRIMESTRE'!O45</f>
        <v>0</v>
      </c>
      <c r="P29" s="14">
        <f>'1º TRIMESTRE'!P45</f>
        <v>0</v>
      </c>
      <c r="Q29" s="14" t="str">
        <f>'1º TRIMESTRE'!Q45</f>
        <v>3.3.90.39</v>
      </c>
      <c r="R29" s="14">
        <f>'1º TRIMESTRE'!R45</f>
        <v>1552175.74</v>
      </c>
      <c r="S29" s="14">
        <f>'1º TRIMESTRE'!S45</f>
        <v>353867.82</v>
      </c>
      <c r="T29" s="14">
        <f>'1º TRIMESTRE'!T45</f>
        <v>353867.82</v>
      </c>
      <c r="U29" s="14" t="e">
        <f>'1º TRIMESTRE'!U45</f>
        <v>#REF!</v>
      </c>
      <c r="V29" s="14" t="str">
        <f>'1º TRIMESTRE'!V45</f>
        <v>andamento</v>
      </c>
      <c r="X29" s="39"/>
    </row>
    <row r="30" spans="1:24" ht="32.15">
      <c r="A30" s="14" t="str">
        <f>'1º TRIMESTRE'!A16</f>
        <v>CONCORRÊNCIA Licitação: 10/2018</v>
      </c>
      <c r="B30" s="14" t="str">
        <f>'1º TRIMESTRE'!B16</f>
        <v>SERVIÇOS DE MANUTENÇÃO PREVENTIVA DO SISTEMA DE MACRODRENAGEM EM TODAS AS RPA'S DA CIDADE DO RECIFE - RPA 04, 05</v>
      </c>
      <c r="C30" s="14" t="str">
        <f>'1º TRIMESTRE'!C16</f>
        <v>495721/2018 e 535346/2020</v>
      </c>
      <c r="D30" s="14" t="str">
        <f>'1º TRIMESTRE'!D16</f>
        <v>FINISA</v>
      </c>
      <c r="E30" s="14">
        <f>'1º TRIMESTRE'!E16</f>
        <v>184899815.11999997</v>
      </c>
      <c r="F30" s="14">
        <f>'1º TRIMESTRE'!F16</f>
        <v>0</v>
      </c>
      <c r="G30" s="14" t="str">
        <f>'1º TRIMESTRE'!G16</f>
        <v>01.514.128/0001-36</v>
      </c>
      <c r="H30" s="14" t="str">
        <f>'1º TRIMESTRE'!H16</f>
        <v>SCAVE SERVICOS DE ENGENHARIA E LOCACAO LTDA</v>
      </c>
      <c r="I30" s="14" t="str">
        <f>'1º TRIMESTRE'!I16</f>
        <v>6-019/19</v>
      </c>
      <c r="J30" s="14">
        <f>'1º TRIMESTRE'!J16</f>
        <v>43571</v>
      </c>
      <c r="K30" s="14">
        <f>'1º TRIMESTRE'!K16</f>
        <v>1125</v>
      </c>
      <c r="L30" s="14">
        <f>'1º TRIMESTRE'!L16</f>
        <v>11869839.779999999</v>
      </c>
      <c r="M30" s="14">
        <f>'1º TRIMESTRE'!M16</f>
        <v>44696</v>
      </c>
      <c r="N30" s="14">
        <f>'1º TRIMESTRE'!N16</f>
        <v>0</v>
      </c>
      <c r="O30" s="14">
        <f>'1º TRIMESTRE'!O16</f>
        <v>310156</v>
      </c>
      <c r="P30" s="14">
        <f>'1º TRIMESTRE'!P16</f>
        <v>3232749.75</v>
      </c>
      <c r="Q30" s="14" t="str">
        <f>'1º TRIMESTRE'!Q16</f>
        <v>4.4.90.39</v>
      </c>
      <c r="R30" s="14">
        <f>'1º TRIMESTRE'!R16</f>
        <v>7782852.7899999991</v>
      </c>
      <c r="S30" s="14">
        <f>'1º TRIMESTRE'!S16</f>
        <v>423943.03</v>
      </c>
      <c r="T30" s="14">
        <f>'1º TRIMESTRE'!T16</f>
        <v>423943.03</v>
      </c>
      <c r="U30" s="14" t="e">
        <f>'1º TRIMESTRE'!U16</f>
        <v>#REF!</v>
      </c>
      <c r="V30" s="14" t="str">
        <f>'1º TRIMESTRE'!V16</f>
        <v>andamento</v>
      </c>
      <c r="X30" s="39"/>
    </row>
    <row r="31" spans="1:24" ht="64.3">
      <c r="A31" s="14" t="str">
        <f>'1º TRIMESTRE'!A46</f>
        <v>CONCORRÊNCIA Licitação: 2/2021</v>
      </c>
      <c r="B31" s="14" t="str">
        <f>'1º TRIMESTRE'!B46</f>
        <v>RECUPERACAO DE ESCADARIAS. MUROS E CORRIMOES LOCALIZADAS NAS DIVERSAS NAS DIVERSAS REGIAO POLITICA ADMINISTRATIVA RPAS DA CIDADE DO RECIFE. DIVIDIDAS EM EM LOTES. LOTE I RPA 2; LOTE II RPA 3 E LOTE III RPA 4.5.6</v>
      </c>
      <c r="C31" s="14" t="str">
        <f>'1º TRIMESTRE'!C46</f>
        <v>535346/2020 e 599406/2021</v>
      </c>
      <c r="D31" s="14" t="str">
        <f>'1º TRIMESTRE'!D46</f>
        <v>FINISA</v>
      </c>
      <c r="E31" s="14">
        <f>'1º TRIMESTRE'!E46</f>
        <v>113346677.56</v>
      </c>
      <c r="F31" s="14">
        <f>'1º TRIMESTRE'!F46</f>
        <v>0</v>
      </c>
      <c r="G31" s="14" t="str">
        <f>'1º TRIMESTRE'!G46</f>
        <v>11.523.068/0001-71</v>
      </c>
      <c r="H31" s="14" t="str">
        <f>'1º TRIMESTRE'!H46</f>
        <v>CONSTRUTORA FAELLA LTDA EPP</v>
      </c>
      <c r="I31" s="14" t="str">
        <f>'1º TRIMESTRE'!I46</f>
        <v>6-021/21</v>
      </c>
      <c r="J31" s="14">
        <f>'1º TRIMESTRE'!J46</f>
        <v>44365</v>
      </c>
      <c r="K31" s="14">
        <f>'1º TRIMESTRE'!K46</f>
        <v>790</v>
      </c>
      <c r="L31" s="14">
        <f>'1º TRIMESTRE'!L46</f>
        <v>6226475.1799999997</v>
      </c>
      <c r="M31" s="14">
        <f>'1º TRIMESTRE'!M46</f>
        <v>45155</v>
      </c>
      <c r="N31" s="14">
        <f>'1º TRIMESTRE'!N46</f>
        <v>0</v>
      </c>
      <c r="O31" s="14">
        <f>'1º TRIMESTRE'!O46</f>
        <v>0</v>
      </c>
      <c r="P31" s="14">
        <f>'1º TRIMESTRE'!P46</f>
        <v>0</v>
      </c>
      <c r="Q31" s="14" t="str">
        <f>'1º TRIMESTRE'!Q46</f>
        <v>3.3.90.39</v>
      </c>
      <c r="R31" s="14">
        <f>'1º TRIMESTRE'!R46</f>
        <v>2141064.54</v>
      </c>
      <c r="S31" s="14">
        <f>'1º TRIMESTRE'!S46</f>
        <v>558051.06000000006</v>
      </c>
      <c r="T31" s="14">
        <f>'1º TRIMESTRE'!T46</f>
        <v>558051.06000000006</v>
      </c>
      <c r="U31" s="14" t="e">
        <f>'1º TRIMESTRE'!U46</f>
        <v>#REF!</v>
      </c>
      <c r="V31" s="14" t="str">
        <f>'1º TRIMESTRE'!V46</f>
        <v>andamento</v>
      </c>
      <c r="X31" s="39"/>
    </row>
    <row r="32" spans="1:24" ht="21.45">
      <c r="A32" s="14" t="str">
        <f>'1º TRIMESTRE'!A8</f>
        <v>PREGÃO  / Nº 14/2016</v>
      </c>
      <c r="B32" s="14" t="str">
        <f>'1º TRIMESTRE'!B8</f>
        <v xml:space="preserve">SERVIÇOS DE LIMPEZA URBANA – DESTINAÇÃO FINAL DOS RESÍDUOS SÓLIDOS </v>
      </c>
      <c r="C32" s="14">
        <f>'1º TRIMESTRE'!C8</f>
        <v>0</v>
      </c>
      <c r="D32" s="14">
        <f>'1º TRIMESTRE'!D8</f>
        <v>0</v>
      </c>
      <c r="E32" s="14">
        <f>'1º TRIMESTRE'!E8</f>
        <v>0</v>
      </c>
      <c r="F32" s="14">
        <f>'1º TRIMESTRE'!F8</f>
        <v>0</v>
      </c>
      <c r="G32" s="14" t="str">
        <f>'1º TRIMESTRE'!G8</f>
        <v>08.165.091/0002-08</v>
      </c>
      <c r="H32" s="14" t="str">
        <f>'1º TRIMESTRE'!H8</f>
        <v xml:space="preserve">ECOPESA AMBIENTAL S/A                   </v>
      </c>
      <c r="I32" s="14" t="str">
        <f>'1º TRIMESTRE'!I8</f>
        <v>6-022/16</v>
      </c>
      <c r="J32" s="14">
        <f>'1º TRIMESTRE'!J8</f>
        <v>42769</v>
      </c>
      <c r="K32" s="14">
        <f>'1º TRIMESTRE'!K8</f>
        <v>365</v>
      </c>
      <c r="L32" s="14">
        <f>'1º TRIMESTRE'!L8</f>
        <v>38286283.020000003</v>
      </c>
      <c r="M32" s="14">
        <f>'1º TRIMESTRE'!M8</f>
        <v>44776</v>
      </c>
      <c r="N32" s="14">
        <f>'1º TRIMESTRE'!N8</f>
        <v>1642</v>
      </c>
      <c r="O32" s="14">
        <f>'1º TRIMESTRE'!O8</f>
        <v>190010186.01999998</v>
      </c>
      <c r="P32" s="14">
        <f>'1º TRIMESTRE'!P8</f>
        <v>8446263.3000000007</v>
      </c>
      <c r="Q32" s="14" t="str">
        <f>'1º TRIMESTRE'!Q8</f>
        <v>3.3.90.39</v>
      </c>
      <c r="R32" s="14">
        <f>'1º TRIMESTRE'!R8</f>
        <v>164064779.25999999</v>
      </c>
      <c r="S32" s="14">
        <f>'1º TRIMESTRE'!S8</f>
        <v>8800458.8100000005</v>
      </c>
      <c r="T32" s="14">
        <f>'1º TRIMESTRE'!T8</f>
        <v>8800458.8100000005</v>
      </c>
      <c r="U32" s="14" t="e">
        <f>'1º TRIMESTRE'!U8</f>
        <v>#REF!</v>
      </c>
      <c r="V32" s="14" t="str">
        <f>'1º TRIMESTRE'!V8</f>
        <v>andamento</v>
      </c>
      <c r="X32" s="39"/>
    </row>
    <row r="33" spans="1:29" ht="64.3">
      <c r="A33" s="14" t="str">
        <f>'1º TRIMESTRE'!A47</f>
        <v>CONCORRÊNCIA Licitação: 2/2021</v>
      </c>
      <c r="B33" s="14" t="str">
        <f>'1º TRIMESTRE'!B47</f>
        <v>RECUPERACAO DE ESCADARIAS. MUROS E CORRIMOES LOCALIZADAS NAS DIVERSAS NAS DIVERSAS REGIAO POLITICA ADMINISTRATIVA RPAS DA CIDADE DO RECIFE. DIVIDIDAS EM EM LOTES. LOTE I RPA 2; LOTE II RPA 3 E LOTE III RPA 4.5.6</v>
      </c>
      <c r="C33" s="14" t="str">
        <f>'1º TRIMESTRE'!C47</f>
        <v>535346/2020 e 599406/2021</v>
      </c>
      <c r="D33" s="14" t="str">
        <f>'1º TRIMESTRE'!D47</f>
        <v>FINISA</v>
      </c>
      <c r="E33" s="14">
        <f>'1º TRIMESTRE'!E47</f>
        <v>113346677.56</v>
      </c>
      <c r="F33" s="14">
        <f>'1º TRIMESTRE'!F47</f>
        <v>0</v>
      </c>
      <c r="G33" s="14" t="str">
        <f>'1º TRIMESTRE'!G47</f>
        <v>07.693.988/0001-60</v>
      </c>
      <c r="H33" s="14" t="str">
        <f>'1º TRIMESTRE'!H47</f>
        <v>F R F ENGENHARIA LTDA</v>
      </c>
      <c r="I33" s="14" t="str">
        <f>'1º TRIMESTRE'!I47</f>
        <v>6-022/21</v>
      </c>
      <c r="J33" s="14">
        <f>'1º TRIMESTRE'!J47</f>
        <v>44365</v>
      </c>
      <c r="K33" s="14">
        <f>'1º TRIMESTRE'!K47</f>
        <v>790</v>
      </c>
      <c r="L33" s="14">
        <f>'1º TRIMESTRE'!L47</f>
        <v>9358982.3300000001</v>
      </c>
      <c r="M33" s="14">
        <f>'1º TRIMESTRE'!M47</f>
        <v>45155</v>
      </c>
      <c r="N33" s="14">
        <f>'1º TRIMESTRE'!N47</f>
        <v>0</v>
      </c>
      <c r="O33" s="14">
        <f>'1º TRIMESTRE'!O47</f>
        <v>0</v>
      </c>
      <c r="P33" s="14">
        <f>'1º TRIMESTRE'!P47</f>
        <v>0</v>
      </c>
      <c r="Q33" s="14" t="str">
        <f>'1º TRIMESTRE'!Q47</f>
        <v>3.3.90.39</v>
      </c>
      <c r="R33" s="14">
        <f>'1º TRIMESTRE'!R47</f>
        <v>3218198</v>
      </c>
      <c r="S33" s="14">
        <f>'1º TRIMESTRE'!S47</f>
        <v>1640824.8</v>
      </c>
      <c r="T33" s="14">
        <f>'1º TRIMESTRE'!T47</f>
        <v>1640824.8</v>
      </c>
      <c r="U33" s="14" t="e">
        <f>'1º TRIMESTRE'!U47</f>
        <v>#REF!</v>
      </c>
      <c r="V33" s="14" t="str">
        <f>'1º TRIMESTRE'!V47</f>
        <v>andamento</v>
      </c>
      <c r="X33" s="39"/>
    </row>
    <row r="34" spans="1:29" ht="32.15">
      <c r="A34" s="14" t="str">
        <f>'1º TRIMESTRE'!A9</f>
        <v>CONCORRÊNCIA 03/2016</v>
      </c>
      <c r="B34" s="14" t="str">
        <f>'1º TRIMESTRE'!B9</f>
        <v xml:space="preserve">SERVIÇOS DE APOIO TÉCNICO AO MKONITORAMENTO DAS AÇÕES DE MANUTENÇÃO DO SISTEMA VIÁRIO DA CIDADE DO RECIFE, </v>
      </c>
      <c r="C34" s="14">
        <f>'1º TRIMESTRE'!C9</f>
        <v>0</v>
      </c>
      <c r="D34" s="14">
        <f>'1º TRIMESTRE'!D9</f>
        <v>0</v>
      </c>
      <c r="E34" s="14">
        <f>'1º TRIMESTRE'!E9</f>
        <v>0</v>
      </c>
      <c r="F34" s="14">
        <f>'1º TRIMESTRE'!F9</f>
        <v>0</v>
      </c>
      <c r="G34" s="14" t="str">
        <f>'1º TRIMESTRE'!G9</f>
        <v xml:space="preserve">41.075.755/0001-32 </v>
      </c>
      <c r="H34" s="14" t="str">
        <f>'1º TRIMESTRE'!H9</f>
        <v>NORCONSULT PROJETOS E CONSULTORIA LTDA</v>
      </c>
      <c r="I34" s="14" t="str">
        <f>'1º TRIMESTRE'!I9</f>
        <v>6-023/16</v>
      </c>
      <c r="J34" s="14">
        <f>'1º TRIMESTRE'!J9</f>
        <v>42772</v>
      </c>
      <c r="K34" s="14">
        <f>'1º TRIMESTRE'!K9</f>
        <v>365</v>
      </c>
      <c r="L34" s="14">
        <f>'1º TRIMESTRE'!L9</f>
        <v>1777584.96</v>
      </c>
      <c r="M34" s="14">
        <f>'1º TRIMESTRE'!M9</f>
        <v>44597</v>
      </c>
      <c r="N34" s="14">
        <f>'1º TRIMESTRE'!N9</f>
        <v>1460</v>
      </c>
      <c r="O34" s="14">
        <f>'1º TRIMESTRE'!O9</f>
        <v>8848759.4399999995</v>
      </c>
      <c r="P34" s="14">
        <f>'1º TRIMESTRE'!P9</f>
        <v>88092.12</v>
      </c>
      <c r="Q34" s="14" t="str">
        <f>'1º TRIMESTRE'!Q9</f>
        <v>3.3.90.39</v>
      </c>
      <c r="R34" s="14">
        <f>'1º TRIMESTRE'!R9</f>
        <v>6723678.3900000006</v>
      </c>
      <c r="S34" s="14">
        <f>'1º TRIMESTRE'!S9</f>
        <v>31990.75</v>
      </c>
      <c r="T34" s="14">
        <f>'1º TRIMESTRE'!T9</f>
        <v>31990.75</v>
      </c>
      <c r="U34" s="14" t="e">
        <f>'1º TRIMESTRE'!U9</f>
        <v>#REF!</v>
      </c>
      <c r="V34" s="14" t="str">
        <f>'1º TRIMESTRE'!V9</f>
        <v>encerrado</v>
      </c>
      <c r="X34" s="39"/>
    </row>
    <row r="35" spans="1:29" ht="64.3">
      <c r="A35" s="14" t="str">
        <f>'1º TRIMESTRE'!A48</f>
        <v>CONCORRÊNCIA Licitação: 2/2021</v>
      </c>
      <c r="B35" s="14" t="str">
        <f>'1º TRIMESTRE'!B48</f>
        <v>RECUPERACAO DE ESCADARIAS. MUROS E CORRIMOES LOCALIZADAS NAS DIVERSAS NAS DIVERSAS REGIAO POLITICA ADMINISTRATIVA RPAS DA CIDADE DO RECIFE. DIVIDIDAS EM EM LOTES. LOTE I RPA 2; LOTE II RPA 3 E LOTE III RPA 4.5.6</v>
      </c>
      <c r="C35" s="14" t="str">
        <f>'1º TRIMESTRE'!C48</f>
        <v>535346/2020 e 599406/2021</v>
      </c>
      <c r="D35" s="14" t="str">
        <f>'1º TRIMESTRE'!D48</f>
        <v>FINISA</v>
      </c>
      <c r="E35" s="14">
        <f>'1º TRIMESTRE'!E48</f>
        <v>113346677.56</v>
      </c>
      <c r="F35" s="14">
        <f>'1º TRIMESTRE'!F48</f>
        <v>0</v>
      </c>
      <c r="G35" s="14" t="str">
        <f>'1º TRIMESTRE'!G48</f>
        <v>10.811.370/0001-62</v>
      </c>
      <c r="H35" s="14" t="str">
        <f>'1º TRIMESTRE'!H48</f>
        <v>GUERRA CONSTRUCOES LTDA</v>
      </c>
      <c r="I35" s="14" t="str">
        <f>'1º TRIMESTRE'!I48</f>
        <v>6-023/21</v>
      </c>
      <c r="J35" s="14">
        <f>'1º TRIMESTRE'!J48</f>
        <v>44365</v>
      </c>
      <c r="K35" s="14">
        <f>'1º TRIMESTRE'!K48</f>
        <v>790</v>
      </c>
      <c r="L35" s="14">
        <f>'1º TRIMESTRE'!L48</f>
        <v>7403917.6600000001</v>
      </c>
      <c r="M35" s="14">
        <f>'1º TRIMESTRE'!M48</f>
        <v>45155</v>
      </c>
      <c r="N35" s="14">
        <f>'1º TRIMESTRE'!N48</f>
        <v>0</v>
      </c>
      <c r="O35" s="14">
        <f>'1º TRIMESTRE'!O48</f>
        <v>0</v>
      </c>
      <c r="P35" s="14">
        <f>'1º TRIMESTRE'!P48</f>
        <v>0</v>
      </c>
      <c r="Q35" s="14" t="str">
        <f>'1º TRIMESTRE'!Q48</f>
        <v>3.3.90.39</v>
      </c>
      <c r="R35" s="14">
        <f>'1º TRIMESTRE'!R48</f>
        <v>3195663.49</v>
      </c>
      <c r="S35" s="14">
        <f>'1º TRIMESTRE'!S48</f>
        <v>922043.14</v>
      </c>
      <c r="T35" s="14">
        <f>'1º TRIMESTRE'!T48</f>
        <v>922043.14</v>
      </c>
      <c r="U35" s="14" t="e">
        <f>'1º TRIMESTRE'!U48</f>
        <v>#REF!</v>
      </c>
      <c r="V35" s="14" t="str">
        <f>'1º TRIMESTRE'!V48</f>
        <v>andamento</v>
      </c>
      <c r="X35" s="39"/>
    </row>
    <row r="36" spans="1:29" ht="21.45">
      <c r="A36" s="14" t="str">
        <f>'1º TRIMESTRE'!A10</f>
        <v>PREGÃO  / Nº 14/2016</v>
      </c>
      <c r="B36" s="14" t="str">
        <f>'1º TRIMESTRE'!B10</f>
        <v xml:space="preserve">SERVIÇOS DE LIMPEZA URBANA – DESTINAÇÃO FINAL DOS RESÍDUOS SÓLIDOS </v>
      </c>
      <c r="C36" s="14">
        <f>'1º TRIMESTRE'!C10</f>
        <v>0</v>
      </c>
      <c r="D36" s="14">
        <f>'1º TRIMESTRE'!D10</f>
        <v>0</v>
      </c>
      <c r="E36" s="14">
        <f>'1º TRIMESTRE'!E10</f>
        <v>0</v>
      </c>
      <c r="F36" s="14">
        <f>'1º TRIMESTRE'!F10</f>
        <v>0</v>
      </c>
      <c r="G36" s="14" t="str">
        <f>'1º TRIMESTRE'!G10</f>
        <v>08.165.091/0002-08</v>
      </c>
      <c r="H36" s="14" t="str">
        <f>'1º TRIMESTRE'!H10</f>
        <v xml:space="preserve">ECOPESA AMBIENTAL S/A                   </v>
      </c>
      <c r="I36" s="14" t="str">
        <f>'1º TRIMESTRE'!I10</f>
        <v>6-024/16</v>
      </c>
      <c r="J36" s="14">
        <f>'1º TRIMESTRE'!J10</f>
        <v>42769</v>
      </c>
      <c r="K36" s="14">
        <f>'1º TRIMESTRE'!K10</f>
        <v>365</v>
      </c>
      <c r="L36" s="14">
        <f>'1º TRIMESTRE'!L10</f>
        <v>8888698.4900000002</v>
      </c>
      <c r="M36" s="14">
        <f>'1º TRIMESTRE'!M10</f>
        <v>44776</v>
      </c>
      <c r="N36" s="14">
        <f>'1º TRIMESTRE'!N10</f>
        <v>1642</v>
      </c>
      <c r="O36" s="14">
        <f>'1º TRIMESTRE'!O10</f>
        <v>43850158.57</v>
      </c>
      <c r="P36" s="14">
        <f>'1º TRIMESTRE'!P10</f>
        <v>1440957.39</v>
      </c>
      <c r="Q36" s="14" t="str">
        <f>'1º TRIMESTRE'!Q10</f>
        <v>3.3.90.39</v>
      </c>
      <c r="R36" s="14">
        <f>'1º TRIMESTRE'!R10</f>
        <v>38758644.540000007</v>
      </c>
      <c r="S36" s="14">
        <f>'1º TRIMESTRE'!S10</f>
        <v>2242659.59</v>
      </c>
      <c r="T36" s="14">
        <f>'1º TRIMESTRE'!T10</f>
        <v>2242659.59</v>
      </c>
      <c r="U36" s="14" t="e">
        <f>'1º TRIMESTRE'!U10</f>
        <v>#REF!</v>
      </c>
      <c r="V36" s="14" t="str">
        <f>'1º TRIMESTRE'!V10</f>
        <v>andamento</v>
      </c>
      <c r="X36" s="39"/>
    </row>
    <row r="37" spans="1:29" ht="64.3">
      <c r="A37" s="14" t="str">
        <f>'1º TRIMESTRE'!A17</f>
        <v>CONCORRÊNCIA Licitação:    004/2019</v>
      </c>
      <c r="B37" s="14" t="str">
        <f>'1º TRIMESTRE'!B17</f>
        <v>SERVIÇOS COMPLEMENTARES DE LIMPEZA URBANA EM ÁREAS PLANAS E DE TALUDE E SERVIÇOS DE MANUTENÇÃO CONTÍNUA PREVENTIVA E CORRETIVA DA ARBORIZAÇÃO URBANA EM MORROS, INCLUINDO A LOCAÇÃO DE VEÍCULOS E EQUIPAMENTOS.</v>
      </c>
      <c r="C37" s="14">
        <f>'1º TRIMESTRE'!C17</f>
        <v>0</v>
      </c>
      <c r="D37" s="14">
        <f>'1º TRIMESTRE'!D17</f>
        <v>0</v>
      </c>
      <c r="E37" s="14">
        <f>'1º TRIMESTRE'!E17</f>
        <v>0</v>
      </c>
      <c r="F37" s="14">
        <f>'1º TRIMESTRE'!F17</f>
        <v>0</v>
      </c>
      <c r="G37" s="14" t="str">
        <f>'1º TRIMESTRE'!G17</f>
        <v>40.884.405/0001-54</v>
      </c>
      <c r="H37" s="14" t="str">
        <f>'1º TRIMESTRE'!H17</f>
        <v>LOQUIPE LOCACAO DE EQUIPAMENTOS E MAO DE OBRA LTDA</v>
      </c>
      <c r="I37" s="14" t="str">
        <f>'1º TRIMESTRE'!I17</f>
        <v>6-024/19</v>
      </c>
      <c r="J37" s="14">
        <f>'1º TRIMESTRE'!J17</f>
        <v>43633</v>
      </c>
      <c r="K37" s="14">
        <f>'1º TRIMESTRE'!K17</f>
        <v>395</v>
      </c>
      <c r="L37" s="14">
        <f>'1º TRIMESTRE'!L17</f>
        <v>12390281.279999999</v>
      </c>
      <c r="M37" s="14">
        <f>'1º TRIMESTRE'!M17</f>
        <v>44758</v>
      </c>
      <c r="N37" s="14">
        <f>'1º TRIMESTRE'!N17</f>
        <v>730</v>
      </c>
      <c r="O37" s="14">
        <f>'1º TRIMESTRE'!O17</f>
        <v>28104956.880000003</v>
      </c>
      <c r="P37" s="14">
        <f>'1º TRIMESTRE'!P17</f>
        <v>2473711.6800000002</v>
      </c>
      <c r="Q37" s="14" t="str">
        <f>'1º TRIMESTRE'!Q17</f>
        <v>3.3.90.39</v>
      </c>
      <c r="R37" s="14">
        <f>'1º TRIMESTRE'!R17</f>
        <v>22497438.040000003</v>
      </c>
      <c r="S37" s="14">
        <f>'1º TRIMESTRE'!S17</f>
        <v>1826891.1</v>
      </c>
      <c r="T37" s="14">
        <f>'1º TRIMESTRE'!T17</f>
        <v>1826891.1</v>
      </c>
      <c r="U37" s="14" t="e">
        <f>'1º TRIMESTRE'!U17</f>
        <v>#REF!</v>
      </c>
      <c r="V37" s="14" t="str">
        <f>'1º TRIMESTRE'!V17</f>
        <v>andamento</v>
      </c>
      <c r="X37" s="39"/>
    </row>
    <row r="38" spans="1:29" s="20" customFormat="1" ht="42.9">
      <c r="A38" s="14" t="str">
        <f>'1º TRIMESTRE'!A23</f>
        <v>CONCORRÊNCIA Licitação: 1/2020</v>
      </c>
      <c r="B38" s="14" t="str">
        <f>'1º TRIMESTRE'!B23</f>
        <v>SERVIÇOS DE MANUTENÇÃO CORRETIVA DE VIAS NÃO PAVIMENTADAS DO SISTEMA VIÁRIO DA CIDADE DO RECIFE, COMPOSTOS BASICAMENTE POR SERVIÇOS DE TERRAPLENAGEM.</v>
      </c>
      <c r="C38" s="14">
        <f>'1º TRIMESTRE'!C23</f>
        <v>0</v>
      </c>
      <c r="D38" s="14">
        <f>'1º TRIMESTRE'!D23</f>
        <v>0</v>
      </c>
      <c r="E38" s="14">
        <f>'1º TRIMESTRE'!E23</f>
        <v>0</v>
      </c>
      <c r="F38" s="14">
        <f>'1º TRIMESTRE'!F23</f>
        <v>0</v>
      </c>
      <c r="G38" s="14" t="str">
        <f>'1º TRIMESTRE'!G23</f>
        <v>40.884.405/0001-54</v>
      </c>
      <c r="H38" s="14" t="str">
        <f>'1º TRIMESTRE'!H23</f>
        <v>LOQUIPE LOCACAO DE EQUIPAMENTOS E MAO DE OBRA LTDA</v>
      </c>
      <c r="I38" s="14" t="str">
        <f>'1º TRIMESTRE'!I23</f>
        <v>6-024/20</v>
      </c>
      <c r="J38" s="14">
        <f>'1º TRIMESTRE'!J23</f>
        <v>44084</v>
      </c>
      <c r="K38" s="14">
        <f>'1º TRIMESTRE'!K23</f>
        <v>760</v>
      </c>
      <c r="L38" s="14">
        <f>'1º TRIMESTRE'!L23</f>
        <v>2567335.44</v>
      </c>
      <c r="M38" s="14">
        <f>'1º TRIMESTRE'!M23</f>
        <v>44844</v>
      </c>
      <c r="N38" s="14">
        <f>'1º TRIMESTRE'!N23</f>
        <v>0</v>
      </c>
      <c r="O38" s="14">
        <f>'1º TRIMESTRE'!O23</f>
        <v>0</v>
      </c>
      <c r="P38" s="14">
        <f>'1º TRIMESTRE'!P23</f>
        <v>0</v>
      </c>
      <c r="Q38" s="14" t="str">
        <f>'1º TRIMESTRE'!Q23</f>
        <v>3.3.90.39</v>
      </c>
      <c r="R38" s="14">
        <f>'1º TRIMESTRE'!R23</f>
        <v>1650108.01</v>
      </c>
      <c r="S38" s="14">
        <f>'1º TRIMESTRE'!S23</f>
        <v>174397.54</v>
      </c>
      <c r="T38" s="14">
        <f>'1º TRIMESTRE'!T23</f>
        <v>174397.54</v>
      </c>
      <c r="U38" s="14" t="e">
        <f>'1º TRIMESTRE'!U23</f>
        <v>#REF!</v>
      </c>
      <c r="V38" s="14" t="str">
        <f>'1º TRIMESTRE'!V23</f>
        <v>andamento</v>
      </c>
      <c r="W38" s="10"/>
      <c r="X38" s="39"/>
      <c r="Y38" s="9"/>
      <c r="AC38" s="25"/>
    </row>
    <row r="39" spans="1:29" ht="64.3">
      <c r="A39" s="14" t="str">
        <f>'1º TRIMESTRE'!A49</f>
        <v>CONCORRÊNCIA Licitação: 18/2020</v>
      </c>
      <c r="B39" s="14" t="str">
        <f>'1º TRIMESTRE'!B49</f>
        <v>CONTRATACAO DE SERVICOS DE MANUTENCAO PREVENTIVA IMPLANTACAO. REQUALIFICACAO E OU RECAPEAMENTO DE VIAS EM CONCRETO BETUMINOSO USINADO A QUENTE CBUQ DO SISTEMA VIARIO DA CIDADE DO RECIFE LOTE I RPA 1</v>
      </c>
      <c r="C39" s="14" t="str">
        <f>'1º TRIMESTRE'!C49</f>
        <v>535346/2020  e 599406/2021 e 01/2020</v>
      </c>
      <c r="D39" s="14" t="str">
        <f>'1º TRIMESTRE'!D49</f>
        <v>FINISA e CTTU</v>
      </c>
      <c r="E39" s="14">
        <f>'1º TRIMESTRE'!E49</f>
        <v>139865458.63</v>
      </c>
      <c r="F39" s="14">
        <f>'1º TRIMESTRE'!F49</f>
        <v>0</v>
      </c>
      <c r="G39" s="14" t="str">
        <f>'1º TRIMESTRE'!G49</f>
        <v>40.882.060/0001-08</v>
      </c>
      <c r="H39" s="14" t="str">
        <f>'1º TRIMESTRE'!H49</f>
        <v>LIDERMAC CONSTRUCOES E EQUIPAMENTOS LTDA</v>
      </c>
      <c r="I39" s="14" t="str">
        <f>'1º TRIMESTRE'!I49</f>
        <v>6-024/21</v>
      </c>
      <c r="J39" s="14">
        <f>'1º TRIMESTRE'!J49</f>
        <v>44370</v>
      </c>
      <c r="K39" s="14">
        <f>'1º TRIMESTRE'!K49</f>
        <v>760</v>
      </c>
      <c r="L39" s="14">
        <f>'1º TRIMESTRE'!L49</f>
        <v>16439785.83</v>
      </c>
      <c r="M39" s="14">
        <f>'1º TRIMESTRE'!M49</f>
        <v>45130</v>
      </c>
      <c r="N39" s="14">
        <f>'1º TRIMESTRE'!N49</f>
        <v>0</v>
      </c>
      <c r="O39" s="14">
        <f>'1º TRIMESTRE'!O49</f>
        <v>0</v>
      </c>
      <c r="P39" s="14">
        <f>'1º TRIMESTRE'!P49</f>
        <v>0</v>
      </c>
      <c r="Q39" s="14" t="str">
        <f>'1º TRIMESTRE'!Q49</f>
        <v>4.4.90.39</v>
      </c>
      <c r="R39" s="14">
        <f>'1º TRIMESTRE'!R49</f>
        <v>4939448.38</v>
      </c>
      <c r="S39" s="14">
        <f>'1º TRIMESTRE'!S49</f>
        <v>0</v>
      </c>
      <c r="T39" s="14">
        <f>'1º TRIMESTRE'!T49</f>
        <v>0</v>
      </c>
      <c r="U39" s="14" t="e">
        <f>'1º TRIMESTRE'!U49</f>
        <v>#REF!</v>
      </c>
      <c r="V39" s="14" t="str">
        <f>'1º TRIMESTRE'!V49</f>
        <v>andamento</v>
      </c>
      <c r="X39" s="39"/>
    </row>
    <row r="40" spans="1:29" ht="21.45">
      <c r="A40" s="14" t="str">
        <f>'1º TRIMESTRE'!A11</f>
        <v>PREGÃO PRESENCIAL/ Nº 014/2016</v>
      </c>
      <c r="B40" s="14" t="str">
        <f>'1º TRIMESTRE'!B11</f>
        <v>SERVIÇO DE LIMPEZA URBANA - DESTINAÇÃO FINAL DOS RESÍDUOS SÓLIDOS</v>
      </c>
      <c r="C40" s="14">
        <f>'1º TRIMESTRE'!C11</f>
        <v>0</v>
      </c>
      <c r="D40" s="14">
        <f>'1º TRIMESTRE'!D11</f>
        <v>0</v>
      </c>
      <c r="E40" s="14">
        <f>'1º TRIMESTRE'!E11</f>
        <v>0</v>
      </c>
      <c r="F40" s="14">
        <f>'1º TRIMESTRE'!F11</f>
        <v>0</v>
      </c>
      <c r="G40" s="14" t="str">
        <f>'1º TRIMESTRE'!G11</f>
        <v>41.116.138/0001-38</v>
      </c>
      <c r="H40" s="14" t="str">
        <f>'1º TRIMESTRE'!H11</f>
        <v>CICLO AMBIENTAL LTDA</v>
      </c>
      <c r="I40" s="14" t="str">
        <f>'1º TRIMESTRE'!I11</f>
        <v>6-025/16</v>
      </c>
      <c r="J40" s="14">
        <f>'1º TRIMESTRE'!J11</f>
        <v>42814</v>
      </c>
      <c r="K40" s="14">
        <f>'1º TRIMESTRE'!K11</f>
        <v>365</v>
      </c>
      <c r="L40" s="14">
        <f>'1º TRIMESTRE'!L11</f>
        <v>3423770.88</v>
      </c>
      <c r="M40" s="14">
        <f>'1º TRIMESTRE'!M11</f>
        <v>44959</v>
      </c>
      <c r="N40" s="14">
        <f>'1º TRIMESTRE'!N11</f>
        <v>1780</v>
      </c>
      <c r="O40" s="14">
        <f>'1º TRIMESTRE'!O11</f>
        <v>23484577.199999999</v>
      </c>
      <c r="P40" s="14">
        <f>'1º TRIMESTRE'!P11</f>
        <v>559078.56000000006</v>
      </c>
      <c r="Q40" s="14" t="str">
        <f>'1º TRIMESTRE'!Q11</f>
        <v>3.3.90.39</v>
      </c>
      <c r="R40" s="14">
        <f>'1º TRIMESTRE'!R11</f>
        <v>20750532.399999999</v>
      </c>
      <c r="S40" s="14">
        <f>'1º TRIMESTRE'!S11</f>
        <v>589433.02</v>
      </c>
      <c r="T40" s="14">
        <f>'1º TRIMESTRE'!T11</f>
        <v>589433.02</v>
      </c>
      <c r="U40" s="14" t="e">
        <f>'1º TRIMESTRE'!U11</f>
        <v>#REF!</v>
      </c>
      <c r="V40" s="14" t="str">
        <f>'1º TRIMESTRE'!V11</f>
        <v>andamento</v>
      </c>
      <c r="X40" s="39"/>
    </row>
    <row r="41" spans="1:29" s="26" customFormat="1" ht="64.3">
      <c r="A41" s="14" t="str">
        <f>'1º TRIMESTRE'!A50</f>
        <v>CONCORRÊNCIA Licitação: 18/2020</v>
      </c>
      <c r="B41" s="14" t="str">
        <f>'1º TRIMESTRE'!B50</f>
        <v>CONTRATACAO DE SERVICOS DE MANUTENCAO PREVENTIVA IMPLANTACAO. REQUALIFICACAO E OU RECAPEAMENTO DE VIAS EM CONCRETO BETUMINOSO USINADO A QUENTE CBUQ DO SISTEMA VIARIO DA CIDADE DO RECIFE LOTE II RPA 2 E 3</v>
      </c>
      <c r="C41" s="14" t="str">
        <f>'1º TRIMESTRE'!C50</f>
        <v>535346/2020  e 599406/2021 e 01/2020</v>
      </c>
      <c r="D41" s="14" t="str">
        <f>'1º TRIMESTRE'!D50</f>
        <v>FINISA e CTTU</v>
      </c>
      <c r="E41" s="14">
        <f>'1º TRIMESTRE'!E50</f>
        <v>139865458.63</v>
      </c>
      <c r="F41" s="14">
        <f>'1º TRIMESTRE'!F50</f>
        <v>0</v>
      </c>
      <c r="G41" s="14" t="str">
        <f>'1º TRIMESTRE'!G50</f>
        <v>00.999.591/0001-52</v>
      </c>
      <c r="H41" s="14" t="str">
        <f>'1º TRIMESTRE'!H50</f>
        <v xml:space="preserve">AGC CONSTRUTORA E EMPREENDIMENTOS LTDA      </v>
      </c>
      <c r="I41" s="14" t="str">
        <f>'1º TRIMESTRE'!I50</f>
        <v>6-025/21</v>
      </c>
      <c r="J41" s="14">
        <f>'1º TRIMESTRE'!J50</f>
        <v>44370</v>
      </c>
      <c r="K41" s="14">
        <f>'1º TRIMESTRE'!K50</f>
        <v>760</v>
      </c>
      <c r="L41" s="14">
        <f>'1º TRIMESTRE'!L50</f>
        <v>16994062.079999998</v>
      </c>
      <c r="M41" s="14">
        <f>'1º TRIMESTRE'!M50</f>
        <v>45130</v>
      </c>
      <c r="N41" s="14">
        <f>'1º TRIMESTRE'!N50</f>
        <v>0</v>
      </c>
      <c r="O41" s="14">
        <f>'1º TRIMESTRE'!O50</f>
        <v>1163076</v>
      </c>
      <c r="P41" s="14">
        <f>'1º TRIMESTRE'!P50</f>
        <v>0</v>
      </c>
      <c r="Q41" s="14" t="str">
        <f>'1º TRIMESTRE'!Q50</f>
        <v>4.4.90.39</v>
      </c>
      <c r="R41" s="14">
        <f>'1º TRIMESTRE'!R50</f>
        <v>10793943.58</v>
      </c>
      <c r="S41" s="14">
        <f>'1º TRIMESTRE'!S50</f>
        <v>2247658.7400000002</v>
      </c>
      <c r="T41" s="14">
        <f>'1º TRIMESTRE'!T50</f>
        <v>2247658.7400000002</v>
      </c>
      <c r="U41" s="14" t="e">
        <f>'1º TRIMESTRE'!U50</f>
        <v>#REF!</v>
      </c>
      <c r="V41" s="14" t="str">
        <f>'1º TRIMESTRE'!V50</f>
        <v>andamento</v>
      </c>
      <c r="W41" s="10"/>
      <c r="X41" s="39"/>
      <c r="Y41" s="9"/>
      <c r="AC41" s="27"/>
    </row>
    <row r="42" spans="1:29" ht="64.3">
      <c r="A42" s="14" t="str">
        <f>'1º TRIMESTRE'!A51</f>
        <v>CONCORRÊNCIA Licitação: 18/2020</v>
      </c>
      <c r="B42" s="14" t="str">
        <f>'1º TRIMESTRE'!B51</f>
        <v>CONTRATACAO DE SERVICOS DE MANUTENCAO PREVENTIVA IMPLANTACAO. REQUALIFICACAO E OU RECAPEAMENTO DE VIAS EM CONCRETO BETUMINOSO USINADO A QUENTE CBUQ DO SISTEMA VIARIO DA CIDADE DO RECIFE LOTES III RPA 4 E 5</v>
      </c>
      <c r="C42" s="14" t="str">
        <f>'1º TRIMESTRE'!C51</f>
        <v>535346/2020  e 599406/2021 e 01/2020</v>
      </c>
      <c r="D42" s="14" t="str">
        <f>'1º TRIMESTRE'!D51</f>
        <v>FINISA e CTTU</v>
      </c>
      <c r="E42" s="14">
        <f>'1º TRIMESTRE'!E51</f>
        <v>139865458.63</v>
      </c>
      <c r="F42" s="14">
        <f>'1º TRIMESTRE'!F51</f>
        <v>0</v>
      </c>
      <c r="G42" s="14" t="str">
        <f>'1º TRIMESTRE'!G51</f>
        <v>23.742.620/0001-00</v>
      </c>
      <c r="H42" s="14" t="str">
        <f>'1º TRIMESTRE'!H51</f>
        <v>INSTTALE ENGENHARIA LTDA</v>
      </c>
      <c r="I42" s="14" t="str">
        <f>'1º TRIMESTRE'!I51</f>
        <v>6-026/21</v>
      </c>
      <c r="J42" s="14">
        <f>'1º TRIMESTRE'!J51</f>
        <v>44370</v>
      </c>
      <c r="K42" s="14">
        <f>'1º TRIMESTRE'!K51</f>
        <v>760</v>
      </c>
      <c r="L42" s="14">
        <f>'1º TRIMESTRE'!L51</f>
        <v>21157084.25</v>
      </c>
      <c r="M42" s="14">
        <f>'1º TRIMESTRE'!M51</f>
        <v>45130</v>
      </c>
      <c r="N42" s="14">
        <f>'1º TRIMESTRE'!N51</f>
        <v>0</v>
      </c>
      <c r="O42" s="14">
        <f>'1º TRIMESTRE'!O51</f>
        <v>4678660.8499999996</v>
      </c>
      <c r="P42" s="14">
        <f>'1º TRIMESTRE'!P51</f>
        <v>0</v>
      </c>
      <c r="Q42" s="14" t="str">
        <f>'1º TRIMESTRE'!Q51</f>
        <v>4.4.90.39</v>
      </c>
      <c r="R42" s="14">
        <f>'1º TRIMESTRE'!R51</f>
        <v>12619932.84</v>
      </c>
      <c r="S42" s="14">
        <f>'1º TRIMESTRE'!S51</f>
        <v>2461300.37</v>
      </c>
      <c r="T42" s="14">
        <f>'1º TRIMESTRE'!T51</f>
        <v>2461300.37</v>
      </c>
      <c r="U42" s="14" t="e">
        <f>'1º TRIMESTRE'!U51</f>
        <v>#REF!</v>
      </c>
      <c r="V42" s="14" t="str">
        <f>'1º TRIMESTRE'!V51</f>
        <v>andamento</v>
      </c>
      <c r="X42" s="39"/>
    </row>
    <row r="43" spans="1:29" ht="32.15">
      <c r="A43" s="14" t="str">
        <f>'1º TRIMESTRE'!A24</f>
        <v>CONCORRÊNCIA Licitação: 3/2020</v>
      </c>
      <c r="B43" s="14" t="str">
        <f>'1º TRIMESTRE'!B24</f>
        <v>SERVIÇOS DE IMPLANTAÇÃO/REQUALIFICAÇÃO DA REDE DE DRENAGEM E PAVIMENTAÇÃO DAS RUAS DAVID NASSER E SENADOR THOMAZ LOBO</v>
      </c>
      <c r="C43" s="14" t="str">
        <f>'1º TRIMESTRE'!C24</f>
        <v>535346/2020</v>
      </c>
      <c r="D43" s="14" t="str">
        <f>'1º TRIMESTRE'!D24</f>
        <v>FINISA</v>
      </c>
      <c r="E43" s="14">
        <f>'1º TRIMESTRE'!E24</f>
        <v>94508747.5</v>
      </c>
      <c r="F43" s="14">
        <f>'1º TRIMESTRE'!F24</f>
        <v>0</v>
      </c>
      <c r="G43" s="14" t="str">
        <f>'1º TRIMESTRE'!G24</f>
        <v>07.157.925/0001-90</v>
      </c>
      <c r="H43" s="14" t="str">
        <f>'1º TRIMESTRE'!H24</f>
        <v>WB CONSTRUTORA LTDA</v>
      </c>
      <c r="I43" s="14" t="str">
        <f>'1º TRIMESTRE'!I24</f>
        <v>6-027/20</v>
      </c>
      <c r="J43" s="14">
        <f>'1º TRIMESTRE'!J24</f>
        <v>44089</v>
      </c>
      <c r="K43" s="14">
        <f>'1º TRIMESTRE'!K24</f>
        <v>210</v>
      </c>
      <c r="L43" s="14">
        <f>'1º TRIMESTRE'!L24</f>
        <v>3335155.86</v>
      </c>
      <c r="M43" s="14">
        <f>'1º TRIMESTRE'!M24</f>
        <v>44584</v>
      </c>
      <c r="N43" s="14">
        <f>'1º TRIMESTRE'!N24</f>
        <v>285</v>
      </c>
      <c r="O43" s="14">
        <f>'1º TRIMESTRE'!O24</f>
        <v>767945.97</v>
      </c>
      <c r="P43" s="14">
        <f>'1º TRIMESTRE'!P24</f>
        <v>0</v>
      </c>
      <c r="Q43" s="14" t="str">
        <f>'1º TRIMESTRE'!Q24</f>
        <v>4.4.90.39</v>
      </c>
      <c r="R43" s="14">
        <f>'1º TRIMESTRE'!R24</f>
        <v>3486185.38</v>
      </c>
      <c r="S43" s="14">
        <f>'1º TRIMESTRE'!S24</f>
        <v>538484.02</v>
      </c>
      <c r="T43" s="14">
        <f>'1º TRIMESTRE'!T24</f>
        <v>538484.02</v>
      </c>
      <c r="U43" s="14" t="e">
        <f>'1º TRIMESTRE'!U24</f>
        <v>#REF!</v>
      </c>
      <c r="V43" s="14" t="str">
        <f>'1º TRIMESTRE'!V24</f>
        <v>encerrado</v>
      </c>
      <c r="X43" s="39"/>
    </row>
    <row r="44" spans="1:29" ht="64.3">
      <c r="A44" s="14" t="str">
        <f>'1º TRIMESTRE'!A52</f>
        <v>CONCORRÊNCIA Licitação: 18/2020</v>
      </c>
      <c r="B44" s="14" t="str">
        <f>'1º TRIMESTRE'!B52</f>
        <v>CONTRATACAO DE SERVICOS DE MANUTENCAO PREVENTIVA IMPLANTACAO. REQUALIFICACAO E OU RECAPEAMENTO DE VIAS EM CONCRETO BETUMINOSO USINADO A QUENTE CBUQ DO SISTEMA VIARIO DA CIDADE DO RECIFE LOTE IV RPA 6</v>
      </c>
      <c r="C44" s="14" t="str">
        <f>'1º TRIMESTRE'!C52</f>
        <v>535346/2020  e 599406/2021 e 01/2020</v>
      </c>
      <c r="D44" s="14" t="str">
        <f>'1º TRIMESTRE'!D52</f>
        <v>FINISA e CTTU</v>
      </c>
      <c r="E44" s="14">
        <f>'1º TRIMESTRE'!E52</f>
        <v>139865458.63</v>
      </c>
      <c r="F44" s="14">
        <f>'1º TRIMESTRE'!F52</f>
        <v>0</v>
      </c>
      <c r="G44" s="14" t="str">
        <f>'1º TRIMESTRE'!G52</f>
        <v>40.882.060/0001-08</v>
      </c>
      <c r="H44" s="14" t="str">
        <f>'1º TRIMESTRE'!H52</f>
        <v>LIDERMAC CONSTRUCOES E EQUIPAMENTOS LTDA</v>
      </c>
      <c r="I44" s="14" t="str">
        <f>'1º TRIMESTRE'!I52</f>
        <v>6-027/21</v>
      </c>
      <c r="J44" s="14">
        <f>'1º TRIMESTRE'!J52</f>
        <v>44370</v>
      </c>
      <c r="K44" s="14">
        <f>'1º TRIMESTRE'!K52</f>
        <v>760</v>
      </c>
      <c r="L44" s="14">
        <f>'1º TRIMESTRE'!L52</f>
        <v>17242398.460000001</v>
      </c>
      <c r="M44" s="14">
        <f>'1º TRIMESTRE'!M52</f>
        <v>45130</v>
      </c>
      <c r="N44" s="14">
        <f>'1º TRIMESTRE'!N52</f>
        <v>0</v>
      </c>
      <c r="O44" s="14">
        <f>'1º TRIMESTRE'!O52</f>
        <v>0</v>
      </c>
      <c r="P44" s="14">
        <f>'1º TRIMESTRE'!P52</f>
        <v>0</v>
      </c>
      <c r="Q44" s="14" t="str">
        <f>'1º TRIMESTRE'!Q52</f>
        <v>4.4.90.39</v>
      </c>
      <c r="R44" s="14">
        <f>'1º TRIMESTRE'!R52</f>
        <v>5251018.3599999994</v>
      </c>
      <c r="S44" s="14">
        <f>'1º TRIMESTRE'!S52</f>
        <v>280441.27</v>
      </c>
      <c r="T44" s="14">
        <f>'1º TRIMESTRE'!T52</f>
        <v>280441.27</v>
      </c>
      <c r="U44" s="14" t="e">
        <f>'1º TRIMESTRE'!U52</f>
        <v>#REF!</v>
      </c>
      <c r="V44" s="14" t="str">
        <f>'1º TRIMESTRE'!V52</f>
        <v>andamento</v>
      </c>
      <c r="X44" s="39"/>
    </row>
    <row r="45" spans="1:29" ht="53.6">
      <c r="A45" s="14" t="str">
        <f>'1º TRIMESTRE'!A53</f>
        <v>CONCORRÊNCIA Licitação: 16/2020</v>
      </c>
      <c r="B45" s="14" t="str">
        <f>'1º TRIMESTRE'!B53</f>
        <v>EXECUÇÃO DE SERVIÇOS DE REQUALIFICAÇÃO MANUTENÇÃO PREVENTIVA E CORRETIVA DE PRAÇAS, PARQUES E ÁREAS VERDES CANTEIROS DE AVENIDAS E REFÚGIOS DA CIDADE DO RECIFE RPAS 1,2 E 3</v>
      </c>
      <c r="C45" s="14">
        <f>'1º TRIMESTRE'!C53</f>
        <v>0</v>
      </c>
      <c r="D45" s="14">
        <f>'1º TRIMESTRE'!D53</f>
        <v>0</v>
      </c>
      <c r="E45" s="14">
        <f>'1º TRIMESTRE'!E53</f>
        <v>0</v>
      </c>
      <c r="F45" s="14">
        <f>'1º TRIMESTRE'!F53</f>
        <v>0</v>
      </c>
      <c r="G45" s="14" t="str">
        <f>'1º TRIMESTRE'!G53</f>
        <v>05.625.079/0001-60</v>
      </c>
      <c r="H45" s="14" t="str">
        <f>'1º TRIMESTRE'!H53</f>
        <v xml:space="preserve">CONSTRUTORA MARDIFI LTDA - EPP </v>
      </c>
      <c r="I45" s="14" t="str">
        <f>'1º TRIMESTRE'!I53</f>
        <v>6-028/21</v>
      </c>
      <c r="J45" s="14">
        <f>'1º TRIMESTRE'!J53</f>
        <v>44391</v>
      </c>
      <c r="K45" s="14">
        <f>'1º TRIMESTRE'!K53</f>
        <v>790</v>
      </c>
      <c r="L45" s="14">
        <f>'1º TRIMESTRE'!L53</f>
        <v>5538433.2699999996</v>
      </c>
      <c r="M45" s="14">
        <f>'1º TRIMESTRE'!M53</f>
        <v>45181</v>
      </c>
      <c r="N45" s="14">
        <f>'1º TRIMESTRE'!N53</f>
        <v>0</v>
      </c>
      <c r="O45" s="14">
        <f>'1º TRIMESTRE'!O53</f>
        <v>923983.58</v>
      </c>
      <c r="P45" s="14">
        <f>'1º TRIMESTRE'!P53</f>
        <v>0</v>
      </c>
      <c r="Q45" s="14" t="str">
        <f>'1º TRIMESTRE'!Q53</f>
        <v>3.3.90.39</v>
      </c>
      <c r="R45" s="14">
        <f>'1º TRIMESTRE'!R53</f>
        <v>872626.14999999991</v>
      </c>
      <c r="S45" s="14">
        <f>'1º TRIMESTRE'!S53</f>
        <v>404668.85</v>
      </c>
      <c r="T45" s="14">
        <f>'1º TRIMESTRE'!T53</f>
        <v>404668.85</v>
      </c>
      <c r="U45" s="14" t="e">
        <f>'1º TRIMESTRE'!U53</f>
        <v>#REF!</v>
      </c>
      <c r="V45" s="14" t="str">
        <f>'1º TRIMESTRE'!V53</f>
        <v>andamento</v>
      </c>
      <c r="X45" s="39"/>
    </row>
    <row r="46" spans="1:29" ht="21.45">
      <c r="A46" s="14" t="str">
        <f>'1º TRIMESTRE'!A25</f>
        <v>CONCORRÊNCIA Licitação: 2/2020</v>
      </c>
      <c r="B46" s="14" t="str">
        <f>'1º TRIMESTRE'!B25</f>
        <v>CONTRATAÇÃO DOS SERVIÇOS DE MANUTENÇÃO CORRETIVA DO SISTEMA VIÁRIO DO RECIFE RPA 01</v>
      </c>
      <c r="C46" s="14">
        <f>'1º TRIMESTRE'!C25</f>
        <v>0</v>
      </c>
      <c r="D46" s="14">
        <f>'1º TRIMESTRE'!D25</f>
        <v>0</v>
      </c>
      <c r="E46" s="14">
        <f>'1º TRIMESTRE'!E25</f>
        <v>0</v>
      </c>
      <c r="F46" s="14">
        <f>'1º TRIMESTRE'!F25</f>
        <v>0</v>
      </c>
      <c r="G46" s="14" t="str">
        <f>'1º TRIMESTRE'!G25</f>
        <v>23.742.620/0001-00</v>
      </c>
      <c r="H46" s="14" t="str">
        <f>'1º TRIMESTRE'!H25</f>
        <v>INSTTALE ENGENHARIA LTDA</v>
      </c>
      <c r="I46" s="14" t="str">
        <f>'1º TRIMESTRE'!I25</f>
        <v>6-029/20</v>
      </c>
      <c r="J46" s="14">
        <f>'1º TRIMESTRE'!J25</f>
        <v>44105</v>
      </c>
      <c r="K46" s="14">
        <f>'1º TRIMESTRE'!K25</f>
        <v>760</v>
      </c>
      <c r="L46" s="14">
        <f>'1º TRIMESTRE'!L25</f>
        <v>6329253.0300000003</v>
      </c>
      <c r="M46" s="14">
        <f>'1º TRIMESTRE'!M25</f>
        <v>44865</v>
      </c>
      <c r="N46" s="14">
        <f>'1º TRIMESTRE'!N25</f>
        <v>0</v>
      </c>
      <c r="O46" s="14">
        <f>'1º TRIMESTRE'!O25</f>
        <v>0</v>
      </c>
      <c r="P46" s="14">
        <f>'1º TRIMESTRE'!P25</f>
        <v>707143.97</v>
      </c>
      <c r="Q46" s="14" t="str">
        <f>'1º TRIMESTRE'!Q25</f>
        <v>3.3.90.39</v>
      </c>
      <c r="R46" s="14">
        <f>'1º TRIMESTRE'!R25</f>
        <v>2862797.26</v>
      </c>
      <c r="S46" s="14">
        <f>'1º TRIMESTRE'!S25</f>
        <v>125227.49</v>
      </c>
      <c r="T46" s="14">
        <f>'1º TRIMESTRE'!T25</f>
        <v>125227.49</v>
      </c>
      <c r="U46" s="14" t="e">
        <f>'1º TRIMESTRE'!U25</f>
        <v>#REF!</v>
      </c>
      <c r="V46" s="14" t="str">
        <f>'1º TRIMESTRE'!V25</f>
        <v>andamento</v>
      </c>
      <c r="X46" s="39"/>
    </row>
    <row r="47" spans="1:29" ht="53.6">
      <c r="A47" s="14" t="str">
        <f>'1º TRIMESTRE'!A54</f>
        <v>CONCORRÊNCIA Licitação: 16/2020</v>
      </c>
      <c r="B47" s="14" t="str">
        <f>'1º TRIMESTRE'!B54</f>
        <v>EXECUÇÃO DE SERVIÇOS DE REQUALIFICAÇÃO MANUTENÇÃO PREVENTIVA E CORRETIVA DE PRAÇAS, PARQUES E ÁREAS VERDES CANTEIROS DE AVENIDAS E REFÚGIOS DA CIDADE DO RECIFE RPAS 4,5 E 6</v>
      </c>
      <c r="C47" s="14">
        <f>'1º TRIMESTRE'!C54</f>
        <v>0</v>
      </c>
      <c r="D47" s="14">
        <f>'1º TRIMESTRE'!D54</f>
        <v>0</v>
      </c>
      <c r="E47" s="14">
        <f>'1º TRIMESTRE'!E54</f>
        <v>0</v>
      </c>
      <c r="F47" s="14">
        <f>'1º TRIMESTRE'!F54</f>
        <v>0</v>
      </c>
      <c r="G47" s="14" t="str">
        <f>'1º TRIMESTRE'!G54</f>
        <v>10.698.641/0001-15</v>
      </c>
      <c r="H47" s="14" t="str">
        <f>'1º TRIMESTRE'!H54</f>
        <v>CONSTRUTORA MASTER EIRELI ME</v>
      </c>
      <c r="I47" s="14" t="str">
        <f>'1º TRIMESTRE'!I54</f>
        <v>6-029/21</v>
      </c>
      <c r="J47" s="14">
        <f>'1º TRIMESTRE'!J54</f>
        <v>44391</v>
      </c>
      <c r="K47" s="14">
        <f>'1º TRIMESTRE'!K54</f>
        <v>790</v>
      </c>
      <c r="L47" s="14">
        <f>'1º TRIMESTRE'!L54</f>
        <v>6400029.5199999996</v>
      </c>
      <c r="M47" s="14">
        <f>'1º TRIMESTRE'!M54</f>
        <v>45181</v>
      </c>
      <c r="N47" s="14">
        <f>'1º TRIMESTRE'!N54</f>
        <v>0</v>
      </c>
      <c r="O47" s="14">
        <f>'1º TRIMESTRE'!O54</f>
        <v>1321148.75</v>
      </c>
      <c r="P47" s="14">
        <f>'1º TRIMESTRE'!P54</f>
        <v>0</v>
      </c>
      <c r="Q47" s="14" t="str">
        <f>'1º TRIMESTRE'!Q54</f>
        <v>3.3.90.39</v>
      </c>
      <c r="R47" s="14">
        <f>'1º TRIMESTRE'!R54</f>
        <v>1696021.61</v>
      </c>
      <c r="S47" s="14">
        <f>'1º TRIMESTRE'!S54</f>
        <v>499134.57</v>
      </c>
      <c r="T47" s="14">
        <f>'1º TRIMESTRE'!T54</f>
        <v>499134.57</v>
      </c>
      <c r="U47" s="14" t="e">
        <f>'1º TRIMESTRE'!U54</f>
        <v>#REF!</v>
      </c>
      <c r="V47" s="14" t="str">
        <f>'1º TRIMESTRE'!V54</f>
        <v>andamento</v>
      </c>
      <c r="X47" s="39"/>
    </row>
    <row r="48" spans="1:29" ht="32.15">
      <c r="A48" s="14" t="str">
        <f>'1º TRIMESTRE'!A26</f>
        <v>CONCORRÊNCIA Licitação: 2/2020</v>
      </c>
      <c r="B48" s="14" t="str">
        <f>'1º TRIMESTRE'!B26</f>
        <v>CONTRATAÇÃO DOS SERVIÇOS DE MANUTENÇÃO CORRETIVA DO SISTEMA VIÁRIO DO RECIFE RPA 02 E 03</v>
      </c>
      <c r="C48" s="14">
        <f>'1º TRIMESTRE'!C26</f>
        <v>0</v>
      </c>
      <c r="D48" s="14">
        <f>'1º TRIMESTRE'!D26</f>
        <v>0</v>
      </c>
      <c r="E48" s="14">
        <f>'1º TRIMESTRE'!E26</f>
        <v>0</v>
      </c>
      <c r="F48" s="14">
        <f>'1º TRIMESTRE'!F26</f>
        <v>0</v>
      </c>
      <c r="G48" s="14" t="str">
        <f>'1º TRIMESTRE'!G26</f>
        <v>00.999.591/0001-52</v>
      </c>
      <c r="H48" s="14" t="str">
        <f>'1º TRIMESTRE'!H26</f>
        <v xml:space="preserve">AGC CONSTRUTORA E EMPREENDIMENTOS LTDA                      </v>
      </c>
      <c r="I48" s="14" t="str">
        <f>'1º TRIMESTRE'!I26</f>
        <v>6-030/20</v>
      </c>
      <c r="J48" s="14">
        <f>'1º TRIMESTRE'!J26</f>
        <v>44130</v>
      </c>
      <c r="K48" s="14">
        <f>'1º TRIMESTRE'!K26</f>
        <v>760</v>
      </c>
      <c r="L48" s="14">
        <f>'1º TRIMESTRE'!L26</f>
        <v>9905518.1799999997</v>
      </c>
      <c r="M48" s="14">
        <f>'1º TRIMESTRE'!M26</f>
        <v>44890</v>
      </c>
      <c r="N48" s="14">
        <f>'1º TRIMESTRE'!N26</f>
        <v>0</v>
      </c>
      <c r="O48" s="14">
        <f>'1º TRIMESTRE'!O26</f>
        <v>100704.67</v>
      </c>
      <c r="P48" s="14">
        <f>'1º TRIMESTRE'!P26</f>
        <v>1135184.8</v>
      </c>
      <c r="Q48" s="14" t="str">
        <f>'1º TRIMESTRE'!Q26</f>
        <v>3.3.90.39</v>
      </c>
      <c r="R48" s="14">
        <f>'1º TRIMESTRE'!R26</f>
        <v>5811516.5199999996</v>
      </c>
      <c r="S48" s="14">
        <f>'1º TRIMESTRE'!S26</f>
        <v>543187.5</v>
      </c>
      <c r="T48" s="14">
        <f>'1º TRIMESTRE'!T26</f>
        <v>543187.5</v>
      </c>
      <c r="U48" s="14" t="e">
        <f>'1º TRIMESTRE'!U26</f>
        <v>#REF!</v>
      </c>
      <c r="V48" s="14" t="str">
        <f>'1º TRIMESTRE'!V26</f>
        <v>andamento</v>
      </c>
      <c r="X48" s="39"/>
    </row>
    <row r="49" spans="1:25" ht="32.15">
      <c r="A49" s="14" t="str">
        <f>'1º TRIMESTRE'!A27</f>
        <v>CONCORRÊNCIA Licitação: 2/2020</v>
      </c>
      <c r="B49" s="14" t="str">
        <f>'1º TRIMESTRE'!B27</f>
        <v>CONTRATAÇÃO DOS SERVIÇOS DE MANUTENÇÃO CORRETIVA DO SISTEMA VIÁRIO DO RECIFE RPA 04 E 05</v>
      </c>
      <c r="C49" s="14">
        <f>'1º TRIMESTRE'!C27</f>
        <v>0</v>
      </c>
      <c r="D49" s="14">
        <f>'1º TRIMESTRE'!D27</f>
        <v>0</v>
      </c>
      <c r="E49" s="14">
        <f>'1º TRIMESTRE'!E27</f>
        <v>0</v>
      </c>
      <c r="F49" s="14">
        <f>'1º TRIMESTRE'!F27</f>
        <v>0</v>
      </c>
      <c r="G49" s="14" t="str">
        <f>'1º TRIMESTRE'!G27</f>
        <v>23.742.620/0001-00</v>
      </c>
      <c r="H49" s="14" t="str">
        <f>'1º TRIMESTRE'!H27</f>
        <v>INSTTALE ENGENHARIA LTDA</v>
      </c>
      <c r="I49" s="14" t="str">
        <f>'1º TRIMESTRE'!I27</f>
        <v>6-031/20</v>
      </c>
      <c r="J49" s="14">
        <f>'1º TRIMESTRE'!J27</f>
        <v>44130</v>
      </c>
      <c r="K49" s="14">
        <f>'1º TRIMESTRE'!K27</f>
        <v>760</v>
      </c>
      <c r="L49" s="14">
        <f>'1º TRIMESTRE'!L27</f>
        <v>12232966.380000001</v>
      </c>
      <c r="M49" s="14">
        <f>'1º TRIMESTRE'!M27</f>
        <v>44890</v>
      </c>
      <c r="N49" s="14">
        <f>'1º TRIMESTRE'!N27</f>
        <v>0</v>
      </c>
      <c r="O49" s="14">
        <f>'1º TRIMESTRE'!O27</f>
        <v>215512.28</v>
      </c>
      <c r="P49" s="14">
        <f>'1º TRIMESTRE'!P27</f>
        <v>1362845.01</v>
      </c>
      <c r="Q49" s="14" t="str">
        <f>'1º TRIMESTRE'!Q27</f>
        <v>3.3.90.39</v>
      </c>
      <c r="R49" s="14">
        <f>'1º TRIMESTRE'!R27</f>
        <v>7754635.79</v>
      </c>
      <c r="S49" s="14">
        <f>'1º TRIMESTRE'!S27</f>
        <v>294499.36000000004</v>
      </c>
      <c r="T49" s="14">
        <f>'1º TRIMESTRE'!T27</f>
        <v>294499.36000000004</v>
      </c>
      <c r="U49" s="14" t="e">
        <f>'1º TRIMESTRE'!U27</f>
        <v>#REF!</v>
      </c>
      <c r="V49" s="14" t="str">
        <f>'1º TRIMESTRE'!V27</f>
        <v>andamento</v>
      </c>
      <c r="X49" s="39"/>
    </row>
    <row r="50" spans="1:25" ht="21.45">
      <c r="A50" s="14" t="str">
        <f>'1º TRIMESTRE'!A28</f>
        <v>CONCORRÊNCIA Licitação: 2/2020</v>
      </c>
      <c r="B50" s="14" t="str">
        <f>'1º TRIMESTRE'!B28</f>
        <v>CONTRATAÇÃO DOS SERVIÇOS DE MANUTENÇÃO CORRETIVA DO SISTEMA VIÁRIO DO RECIFE RPA 06</v>
      </c>
      <c r="C50" s="14">
        <f>'1º TRIMESTRE'!C28</f>
        <v>0</v>
      </c>
      <c r="D50" s="14">
        <f>'1º TRIMESTRE'!D28</f>
        <v>0</v>
      </c>
      <c r="E50" s="14">
        <f>'1º TRIMESTRE'!E28</f>
        <v>0</v>
      </c>
      <c r="F50" s="14">
        <f>'1º TRIMESTRE'!F28</f>
        <v>0</v>
      </c>
      <c r="G50" s="14" t="str">
        <f>'1º TRIMESTRE'!G28</f>
        <v>40.882.060/0001-08</v>
      </c>
      <c r="H50" s="14" t="str">
        <f>'1º TRIMESTRE'!H28</f>
        <v>LIDERMAC CONSTRUCOES E EQUIPAMENTOS LTDA</v>
      </c>
      <c r="I50" s="14" t="str">
        <f>'1º TRIMESTRE'!I28</f>
        <v>6-032/20</v>
      </c>
      <c r="J50" s="14">
        <f>'1º TRIMESTRE'!J28</f>
        <v>44130</v>
      </c>
      <c r="K50" s="14">
        <f>'1º TRIMESTRE'!K28</f>
        <v>760</v>
      </c>
      <c r="L50" s="14">
        <f>'1º TRIMESTRE'!L28</f>
        <v>10773413.109999999</v>
      </c>
      <c r="M50" s="14">
        <f>'1º TRIMESTRE'!M28</f>
        <v>44890</v>
      </c>
      <c r="N50" s="14">
        <f>'1º TRIMESTRE'!N28</f>
        <v>0</v>
      </c>
      <c r="O50" s="14">
        <f>'1º TRIMESTRE'!O28</f>
        <v>0</v>
      </c>
      <c r="P50" s="14">
        <f>'1º TRIMESTRE'!P28</f>
        <v>3401715.99</v>
      </c>
      <c r="Q50" s="14" t="str">
        <f>'1º TRIMESTRE'!Q28</f>
        <v>3.3.90.39</v>
      </c>
      <c r="R50" s="14">
        <f>'1º TRIMESTRE'!R28</f>
        <v>4731014.17</v>
      </c>
      <c r="S50" s="14">
        <f>'1º TRIMESTRE'!S28</f>
        <v>223527.21</v>
      </c>
      <c r="T50" s="14">
        <f>'1º TRIMESTRE'!T28</f>
        <v>223527.21</v>
      </c>
      <c r="U50" s="14" t="e">
        <f>'1º TRIMESTRE'!U28</f>
        <v>#REF!</v>
      </c>
      <c r="V50" s="14" t="str">
        <f>'1º TRIMESTRE'!V28</f>
        <v>andamento</v>
      </c>
      <c r="X50" s="39"/>
    </row>
    <row r="51" spans="1:25" ht="53.6">
      <c r="A51" s="14" t="str">
        <f>'1º TRIMESTRE'!A55</f>
        <v>Tomada de Preço Licitação: 003/2021</v>
      </c>
      <c r="B51" s="14" t="str">
        <f>'1º TRIMESTRE'!B55</f>
        <v>CONTRATAÇÃO DE EMPRESA DE DE ENGENHARIA ESPECIALIZADA EM ILUMINAÇÃO PUBLICA. PARA INSTALAÇÃO DE LUMINÁRIAS/PROJETORES COM TECNOLOGIA LED NA CIDADE DO RECIFE/PE COM FORNECIMENTO DE ACESSÓRIOS</v>
      </c>
      <c r="C51" s="14" t="str">
        <f>'1º TRIMESTRE'!C55</f>
        <v>532561/2020</v>
      </c>
      <c r="D51" s="14" t="str">
        <f>'1º TRIMESTRE'!D55</f>
        <v>FINISA</v>
      </c>
      <c r="E51" s="14">
        <f>'1º TRIMESTRE'!E55</f>
        <v>50000000</v>
      </c>
      <c r="F51" s="14">
        <f>'1º TRIMESTRE'!F55</f>
        <v>0</v>
      </c>
      <c r="G51" s="14" t="str">
        <f>'1º TRIMESTRE'!G55</f>
        <v>01.346.561/0001-00</v>
      </c>
      <c r="H51" s="14" t="str">
        <f>'1º TRIMESTRE'!H55</f>
        <v>VASCONCELOS E SANTOS LTDA</v>
      </c>
      <c r="I51" s="14" t="str">
        <f>'1º TRIMESTRE'!I55</f>
        <v>6-037/21</v>
      </c>
      <c r="J51" s="14">
        <f>'1º TRIMESTRE'!J55</f>
        <v>44495</v>
      </c>
      <c r="K51" s="14">
        <f>'1º TRIMESTRE'!K55</f>
        <v>395</v>
      </c>
      <c r="L51" s="14">
        <f>'1º TRIMESTRE'!L55</f>
        <v>1048809.3999999999</v>
      </c>
      <c r="M51" s="14">
        <f>'1º TRIMESTRE'!M55</f>
        <v>44890</v>
      </c>
      <c r="N51" s="14">
        <f>'1º TRIMESTRE'!N55</f>
        <v>0</v>
      </c>
      <c r="O51" s="14">
        <f>'1º TRIMESTRE'!O55</f>
        <v>0</v>
      </c>
      <c r="P51" s="14">
        <f>'1º TRIMESTRE'!P55</f>
        <v>0</v>
      </c>
      <c r="Q51" s="14" t="str">
        <f>'1º TRIMESTRE'!Q55</f>
        <v>4.4.90.39</v>
      </c>
      <c r="R51" s="14">
        <f>'1º TRIMESTRE'!R55</f>
        <v>476511.69999999995</v>
      </c>
      <c r="S51" s="14">
        <f>'1º TRIMESTRE'!S55</f>
        <v>0</v>
      </c>
      <c r="T51" s="14">
        <f>'1º TRIMESTRE'!T55</f>
        <v>0</v>
      </c>
      <c r="U51" s="14" t="e">
        <f>'1º TRIMESTRE'!U55</f>
        <v>#REF!</v>
      </c>
      <c r="V51" s="14" t="str">
        <f>'1º TRIMESTRE'!V55</f>
        <v>andamento</v>
      </c>
      <c r="X51" s="39"/>
    </row>
    <row r="52" spans="1:25" ht="42.9">
      <c r="A52" s="14" t="str">
        <f>'1º TRIMESTRE'!A56</f>
        <v>Tomada de Preço Licitação: 004/2021</v>
      </c>
      <c r="B52" s="14" t="str">
        <f>'1º TRIMESTRE'!B56</f>
        <v>CONTRATACAO DE EMPRESA DE ENGENHARIA PARA PRESTACAO DOS SERVICOS DE MANUTENCAO DO ENROCAMENTO DE PEDRAS DA PROTECAO EXISTENTE NA ORLA DE BOA VIAGEM</v>
      </c>
      <c r="C52" s="14">
        <f>'1º TRIMESTRE'!C56</f>
        <v>0</v>
      </c>
      <c r="D52" s="14">
        <f>'1º TRIMESTRE'!D56</f>
        <v>0</v>
      </c>
      <c r="E52" s="14">
        <f>'1º TRIMESTRE'!E56</f>
        <v>0</v>
      </c>
      <c r="F52" s="14">
        <f>'1º TRIMESTRE'!F56</f>
        <v>0</v>
      </c>
      <c r="G52" s="14" t="str">
        <f>'1º TRIMESTRE'!G56</f>
        <v>70.086.111/0001-48</v>
      </c>
      <c r="H52" s="14" t="str">
        <f>'1º TRIMESTRE'!H56</f>
        <v>COASTAL - CONSTRUÇÕES E SOLUÇÕES TÉCNICAS AMBIENTAIS EIRELI</v>
      </c>
      <c r="I52" s="14" t="str">
        <f>'1º TRIMESTRE'!I56</f>
        <v>6-039/21</v>
      </c>
      <c r="J52" s="14">
        <f>'1º TRIMESTRE'!J56</f>
        <v>44455</v>
      </c>
      <c r="K52" s="14">
        <f>'1º TRIMESTRE'!K56</f>
        <v>455</v>
      </c>
      <c r="L52" s="14">
        <f>'1º TRIMESTRE'!L56</f>
        <v>1460562.75</v>
      </c>
      <c r="M52" s="14">
        <f>'1º TRIMESTRE'!M56</f>
        <v>44910</v>
      </c>
      <c r="N52" s="14">
        <f>'1º TRIMESTRE'!N56</f>
        <v>0</v>
      </c>
      <c r="O52" s="14">
        <f>'1º TRIMESTRE'!O56</f>
        <v>225202.39</v>
      </c>
      <c r="P52" s="14">
        <f>'1º TRIMESTRE'!P56</f>
        <v>0</v>
      </c>
      <c r="Q52" s="14" t="str">
        <f>'1º TRIMESTRE'!Q56</f>
        <v>3.3.90.39</v>
      </c>
      <c r="R52" s="14">
        <f>'1º TRIMESTRE'!R56</f>
        <v>609894.82000000007</v>
      </c>
      <c r="S52" s="14">
        <f>'1º TRIMESTRE'!S56</f>
        <v>259258.04</v>
      </c>
      <c r="T52" s="14">
        <f>'1º TRIMESTRE'!T56</f>
        <v>259258.04</v>
      </c>
      <c r="U52" s="14" t="e">
        <f>'1º TRIMESTRE'!U56</f>
        <v>#REF!</v>
      </c>
      <c r="V52" s="14" t="str">
        <f>'1º TRIMESTRE'!V56</f>
        <v>andamento</v>
      </c>
      <c r="X52" s="39"/>
    </row>
    <row r="53" spans="1:25" ht="42.9">
      <c r="A53" s="14" t="str">
        <f>'1º TRIMESTRE'!A57</f>
        <v>Concorrência Licitação: 009/2021</v>
      </c>
      <c r="B53" s="14" t="str">
        <f>'1º TRIMESTRE'!B57</f>
        <v>EXECUÇÃO DE SERVIÇOS DE RECUPERAÇÃO DE PASSARELAS, PONTILHÕES E ELEMENTOS LIMITADORES DE ESPAÇO OU PROTEÇÃO NAS DIVERSAS RPAS DA CIDADE DO RECIFE</v>
      </c>
      <c r="C53" s="14">
        <f>'1º TRIMESTRE'!C57</f>
        <v>0</v>
      </c>
      <c r="D53" s="14">
        <f>'1º TRIMESTRE'!D57</f>
        <v>0</v>
      </c>
      <c r="E53" s="14">
        <f>'1º TRIMESTRE'!E57</f>
        <v>0</v>
      </c>
      <c r="F53" s="14">
        <f>'1º TRIMESTRE'!F57</f>
        <v>0</v>
      </c>
      <c r="G53" s="14" t="str">
        <f>'1º TRIMESTRE'!G57</f>
        <v>10.811.370/0001-62</v>
      </c>
      <c r="H53" s="14" t="str">
        <f>'1º TRIMESTRE'!H57</f>
        <v>GUERRA CONSTRUCOES LTDA</v>
      </c>
      <c r="I53" s="14" t="str">
        <f>'1º TRIMESTRE'!I57</f>
        <v>6-042/21</v>
      </c>
      <c r="J53" s="14">
        <f>'1º TRIMESTRE'!J57</f>
        <v>44516</v>
      </c>
      <c r="K53" s="14">
        <f>'1º TRIMESTRE'!K57</f>
        <v>790</v>
      </c>
      <c r="L53" s="14">
        <f>'1º TRIMESTRE'!L57</f>
        <v>4874717.78</v>
      </c>
      <c r="M53" s="14">
        <f>'1º TRIMESTRE'!M57</f>
        <v>45306</v>
      </c>
      <c r="N53" s="14">
        <f>'1º TRIMESTRE'!N57</f>
        <v>0</v>
      </c>
      <c r="O53" s="14">
        <f>'1º TRIMESTRE'!O57</f>
        <v>0</v>
      </c>
      <c r="P53" s="14">
        <f>'1º TRIMESTRE'!P57</f>
        <v>0</v>
      </c>
      <c r="Q53" s="14" t="str">
        <f>'1º TRIMESTRE'!Q57</f>
        <v>3.3.90.39</v>
      </c>
      <c r="R53" s="14">
        <f>'1º TRIMESTRE'!R57</f>
        <v>2103769.5699999998</v>
      </c>
      <c r="S53" s="14">
        <f>'1º TRIMESTRE'!S57</f>
        <v>955134.58</v>
      </c>
      <c r="T53" s="14">
        <f>'1º TRIMESTRE'!T57</f>
        <v>955134.58</v>
      </c>
      <c r="U53" s="14" t="e">
        <f>'1º TRIMESTRE'!U57</f>
        <v>#REF!</v>
      </c>
      <c r="V53" s="14" t="str">
        <f>'1º TRIMESTRE'!V57</f>
        <v>andamento</v>
      </c>
      <c r="X53" s="39"/>
    </row>
    <row r="54" spans="1:25" ht="64.3">
      <c r="A54" s="14" t="str">
        <f>'1º TRIMESTRE'!A29</f>
        <v>TOMADA DE PREÇOS / 005/2020</v>
      </c>
      <c r="B54" s="14" t="str">
        <f>'1º TRIMESTRE'!B29</f>
        <v>CONTRATACAO DE DE EMPRESA DE ENGENHARIA PARA EXECUCAO DE SERVICOS DE MANUTENCAO DE FONTES. COM BOMBAS CENTRIFUGAS DE 5 A 25 CV. ILUMINACAO ESPECIAL E OPERACAO AUTOMATIZADA POR QUADRO DE COMANDO INTERRUPTO HORARIO</v>
      </c>
      <c r="C54" s="14">
        <f>'1º TRIMESTRE'!C29</f>
        <v>0</v>
      </c>
      <c r="D54" s="14">
        <f>'1º TRIMESTRE'!D29</f>
        <v>0</v>
      </c>
      <c r="E54" s="14">
        <f>'1º TRIMESTRE'!E29</f>
        <v>0</v>
      </c>
      <c r="F54" s="14">
        <f>'1º TRIMESTRE'!F29</f>
        <v>0</v>
      </c>
      <c r="G54" s="14" t="str">
        <f>'1º TRIMESTRE'!G29</f>
        <v>06.157.352/0001-31</v>
      </c>
      <c r="H54" s="14" t="str">
        <f>'1º TRIMESTRE'!H29</f>
        <v>ROBERTO &amp; JAIR COMÉRCIO E SERVIÇOS LTDA-ME</v>
      </c>
      <c r="I54" s="14" t="str">
        <f>'1º TRIMESTRE'!I29</f>
        <v>6-043/20</v>
      </c>
      <c r="J54" s="14">
        <f>'1º TRIMESTRE'!J29</f>
        <v>44138</v>
      </c>
      <c r="K54" s="14">
        <f>'1º TRIMESTRE'!K29</f>
        <v>760</v>
      </c>
      <c r="L54" s="14">
        <f>'1º TRIMESTRE'!L29</f>
        <v>536156.1</v>
      </c>
      <c r="M54" s="14">
        <f>'1º TRIMESTRE'!M29</f>
        <v>44898</v>
      </c>
      <c r="N54" s="14">
        <f>'1º TRIMESTRE'!N29</f>
        <v>0</v>
      </c>
      <c r="O54" s="14">
        <f>'1º TRIMESTRE'!O29</f>
        <v>82719.179999999993</v>
      </c>
      <c r="P54" s="14">
        <f>'1º TRIMESTRE'!P29</f>
        <v>0</v>
      </c>
      <c r="Q54" s="14" t="str">
        <f>'1º TRIMESTRE'!Q29</f>
        <v>3.3.90.39</v>
      </c>
      <c r="R54" s="14">
        <f>'1º TRIMESTRE'!R29</f>
        <v>415293.33</v>
      </c>
      <c r="S54" s="14">
        <f>'1º TRIMESTRE'!S29</f>
        <v>49382.99</v>
      </c>
      <c r="T54" s="14">
        <f>'1º TRIMESTRE'!T29</f>
        <v>49382.99</v>
      </c>
      <c r="U54" s="14" t="e">
        <f>'1º TRIMESTRE'!U29</f>
        <v>#REF!</v>
      </c>
      <c r="V54" s="14" t="str">
        <f>'1º TRIMESTRE'!V29</f>
        <v>andamento</v>
      </c>
      <c r="X54" s="39"/>
    </row>
    <row r="55" spans="1:25" ht="75">
      <c r="A55" s="14" t="str">
        <f>'1º TRIMESTRE'!A30</f>
        <v>CONCORRÊNCIA / nº 006/2020</v>
      </c>
      <c r="B55" s="14" t="str">
        <f>'1º TRIMESTRE'!B30</f>
        <v>CONTRATAÇÃO DE EMPRESA DE ENGENHARIA ESPECIALIZADA EM ILUMINAÇÃO PÚBLICA, PARA EXECUÇÃO DOS SERVIÇOS DE MANUTENÇÃO CONTÍNUA, CORRETIVA E PREVENTIVA, DO SISTEMA DE ILUMINAÇÃO PÚBLICA ESPECIAL DA CIDADE DO RECIFE, EM POSTES ACIMA DE 12 METROS DE ALTURA</v>
      </c>
      <c r="C55" s="14">
        <f>'1º TRIMESTRE'!C30</f>
        <v>0</v>
      </c>
      <c r="D55" s="14">
        <f>'1º TRIMESTRE'!D30</f>
        <v>0</v>
      </c>
      <c r="E55" s="14">
        <f>'1º TRIMESTRE'!E30</f>
        <v>0</v>
      </c>
      <c r="F55" s="14">
        <f>'1º TRIMESTRE'!F30</f>
        <v>0</v>
      </c>
      <c r="G55" s="14" t="str">
        <f>'1º TRIMESTRE'!G30</f>
        <v>01.346.561/0001-00</v>
      </c>
      <c r="H55" s="14" t="str">
        <f>'1º TRIMESTRE'!H30</f>
        <v>VASCONCELOS E SANTOS LTDA</v>
      </c>
      <c r="I55" s="14" t="str">
        <f>'1º TRIMESTRE'!I30</f>
        <v>6-044/20</v>
      </c>
      <c r="J55" s="14">
        <f>'1º TRIMESTRE'!J30</f>
        <v>44162</v>
      </c>
      <c r="K55" s="14">
        <f>'1º TRIMESTRE'!K30</f>
        <v>790</v>
      </c>
      <c r="L55" s="14">
        <f>'1º TRIMESTRE'!L30</f>
        <v>1704583.5</v>
      </c>
      <c r="M55" s="14">
        <f>'1º TRIMESTRE'!M30</f>
        <v>44952</v>
      </c>
      <c r="N55" s="14">
        <f>'1º TRIMESTRE'!N30</f>
        <v>0</v>
      </c>
      <c r="O55" s="14">
        <f>'1º TRIMESTRE'!O30</f>
        <v>0</v>
      </c>
      <c r="P55" s="14">
        <f>'1º TRIMESTRE'!P30</f>
        <v>0</v>
      </c>
      <c r="Q55" s="14" t="str">
        <f>'1º TRIMESTRE'!Q30</f>
        <v>3.3.90.39</v>
      </c>
      <c r="R55" s="14">
        <f>'1º TRIMESTRE'!R30</f>
        <v>866191.14</v>
      </c>
      <c r="S55" s="14">
        <f>'1º TRIMESTRE'!S30</f>
        <v>168638.6</v>
      </c>
      <c r="T55" s="14">
        <f>'1º TRIMESTRE'!T30</f>
        <v>168638.6</v>
      </c>
      <c r="U55" s="14" t="e">
        <f>'1º TRIMESTRE'!U30</f>
        <v>#REF!</v>
      </c>
      <c r="V55" s="14" t="str">
        <f>'1º TRIMESTRE'!V30</f>
        <v>andamento</v>
      </c>
      <c r="X55" s="39"/>
    </row>
    <row r="56" spans="1:25" ht="32.15">
      <c r="A56" s="14" t="str">
        <f>'1º TRIMESTRE'!A58</f>
        <v>DISP 004/2021</v>
      </c>
      <c r="B56" s="14" t="str">
        <f>'1º TRIMESTRE'!B58</f>
        <v>CONTRATACAO DE SERVICOS EM CARATER EMERGENCIAL DE COLETA E LIMPEZA URBANA - LOTE 2</v>
      </c>
      <c r="C56" s="14">
        <f>'1º TRIMESTRE'!C58</f>
        <v>0</v>
      </c>
      <c r="D56" s="14">
        <f>'1º TRIMESTRE'!D58</f>
        <v>0</v>
      </c>
      <c r="E56" s="14">
        <f>'1º TRIMESTRE'!E58</f>
        <v>0</v>
      </c>
      <c r="F56" s="14">
        <f>'1º TRIMESTRE'!F58</f>
        <v>0</v>
      </c>
      <c r="G56" s="14" t="str">
        <f>'1º TRIMESTRE'!G58</f>
        <v>02.536.066/0015-21</v>
      </c>
      <c r="H56" s="14" t="str">
        <f>'1º TRIMESTRE'!H58</f>
        <v>VITAL ENGENHARIA AMBIENTAL S/A</v>
      </c>
      <c r="I56" s="14" t="str">
        <f>'1º TRIMESTRE'!I58</f>
        <v>6-044/21</v>
      </c>
      <c r="J56" s="14">
        <f>'1º TRIMESTRE'!J58</f>
        <v>44469</v>
      </c>
      <c r="K56" s="14">
        <f>'1º TRIMESTRE'!K58</f>
        <v>180</v>
      </c>
      <c r="L56" s="14">
        <f>'1º TRIMESTRE'!L58</f>
        <v>76577831.530000001</v>
      </c>
      <c r="M56" s="14">
        <f>'1º TRIMESTRE'!M58</f>
        <v>44649</v>
      </c>
      <c r="N56" s="14">
        <f>'1º TRIMESTRE'!N58</f>
        <v>0</v>
      </c>
      <c r="O56" s="14">
        <f>'1º TRIMESTRE'!O58</f>
        <v>0</v>
      </c>
      <c r="P56" s="14">
        <f>'1º TRIMESTRE'!P58</f>
        <v>4813284.33</v>
      </c>
      <c r="Q56" s="14" t="str">
        <f>'1º TRIMESTRE'!Q58</f>
        <v>3.3.90.39</v>
      </c>
      <c r="R56" s="14">
        <f>'1º TRIMESTRE'!R58</f>
        <v>64071029.579999998</v>
      </c>
      <c r="S56" s="14">
        <f>'1º TRIMESTRE'!S58</f>
        <v>38412112.099999994</v>
      </c>
      <c r="T56" s="14">
        <f>'1º TRIMESTRE'!T58</f>
        <v>38412112.099999994</v>
      </c>
      <c r="U56" s="14" t="e">
        <f>'1º TRIMESTRE'!U58</f>
        <v>#REF!</v>
      </c>
      <c r="V56" s="14" t="str">
        <f>'1º TRIMESTRE'!V58</f>
        <v>andamento</v>
      </c>
      <c r="X56" s="39"/>
    </row>
    <row r="57" spans="1:25" ht="53.6">
      <c r="A57" s="14" t="str">
        <f>'1º TRIMESTRE'!A59</f>
        <v>Pregão Eletrônico Licitação: 031/2021</v>
      </c>
      <c r="B57" s="14" t="str">
        <f>'1º TRIMESTRE'!B59</f>
        <v>CONTRATAÇÃO DE EMPRESA DE ENGENHARIA NA ÁREA DE GEOTÉCNIA PARA ENSAIO DE PENETRAÇÃO DE UM CONE ESTÁTICO DE AÇO COM MEDIDAS DE PRESSÕES NEUTRAS CPTU CONFORME PROCEDIMENTOS DA NORMA ASTM D 5778 95</v>
      </c>
      <c r="C57" s="14">
        <f>'1º TRIMESTRE'!C59</f>
        <v>0</v>
      </c>
      <c r="D57" s="14">
        <f>'1º TRIMESTRE'!D59</f>
        <v>0</v>
      </c>
      <c r="E57" s="14">
        <f>'1º TRIMESTRE'!E59</f>
        <v>0</v>
      </c>
      <c r="F57" s="14">
        <f>'1º TRIMESTRE'!F59</f>
        <v>0</v>
      </c>
      <c r="G57" s="14" t="str">
        <f>'1º TRIMESTRE'!G59</f>
        <v>18.968.880/0001-50</v>
      </c>
      <c r="H57" s="14" t="str">
        <f>'1º TRIMESTRE'!H59</f>
        <v>A1MC PROJETOS LTDA</v>
      </c>
      <c r="I57" s="14" t="str">
        <f>'1º TRIMESTRE'!I59</f>
        <v>6-045/21</v>
      </c>
      <c r="J57" s="14">
        <f>'1º TRIMESTRE'!J59</f>
        <v>44523</v>
      </c>
      <c r="K57" s="14">
        <f>'1º TRIMESTRE'!K59</f>
        <v>60</v>
      </c>
      <c r="L57" s="14">
        <f>'1º TRIMESTRE'!L59</f>
        <v>100000</v>
      </c>
      <c r="M57" s="14">
        <f>'1º TRIMESTRE'!M59</f>
        <v>44583</v>
      </c>
      <c r="N57" s="14">
        <f>'1º TRIMESTRE'!N59</f>
        <v>0</v>
      </c>
      <c r="O57" s="14">
        <f>'1º TRIMESTRE'!O59</f>
        <v>8966.94</v>
      </c>
      <c r="P57" s="14">
        <f>'1º TRIMESTRE'!P59</f>
        <v>0</v>
      </c>
      <c r="Q57" s="14" t="str">
        <f>'1º TRIMESTRE'!Q59</f>
        <v>3.3.90.39</v>
      </c>
      <c r="R57" s="14">
        <f>'1º TRIMESTRE'!R59</f>
        <v>108966.93000000001</v>
      </c>
      <c r="S57" s="14">
        <f>'1º TRIMESTRE'!S59</f>
        <v>45018.95</v>
      </c>
      <c r="T57" s="14">
        <f>'1º TRIMESTRE'!T59</f>
        <v>45018.95</v>
      </c>
      <c r="U57" s="14" t="e">
        <f>'1º TRIMESTRE'!U59</f>
        <v>#REF!</v>
      </c>
      <c r="V57" s="14" t="str">
        <f>'1º TRIMESTRE'!V59</f>
        <v>encerrado</v>
      </c>
      <c r="X57" s="39"/>
    </row>
    <row r="58" spans="1:25" ht="32.15">
      <c r="A58" s="14" t="str">
        <f>'1º TRIMESTRE'!A31</f>
        <v>CONCORRÊNCIA Licitação: 19/2019</v>
      </c>
      <c r="B58" s="14" t="str">
        <f>'1º TRIMESTRE'!B31</f>
        <v>SERVIÇOS DE MANUTENÇÃO DO SISTEMA DE MICRODRENAGEM DAS AGUAS PLUVIAIS DO MUNICIPIO DO RECIFE RPA 1</v>
      </c>
      <c r="C58" s="14">
        <f>'1º TRIMESTRE'!C31</f>
        <v>0</v>
      </c>
      <c r="D58" s="14">
        <f>'1º TRIMESTRE'!D31</f>
        <v>0</v>
      </c>
      <c r="E58" s="14">
        <f>'1º TRIMESTRE'!E31</f>
        <v>0</v>
      </c>
      <c r="F58" s="14">
        <f>'1º TRIMESTRE'!F31</f>
        <v>0</v>
      </c>
      <c r="G58" s="14" t="str">
        <f>'1º TRIMESTRE'!G31</f>
        <v>07.086.088/0001-55</v>
      </c>
      <c r="H58" s="14" t="str">
        <f>'1º TRIMESTRE'!H31</f>
        <v>SOLO CONSTRUCOES E TERRAPLANAGEM LTDA</v>
      </c>
      <c r="I58" s="14" t="str">
        <f>'1º TRIMESTRE'!I31</f>
        <v>6-048/20</v>
      </c>
      <c r="J58" s="14">
        <f>'1º TRIMESTRE'!J31</f>
        <v>44168</v>
      </c>
      <c r="K58" s="14">
        <f>'1º TRIMESTRE'!K31</f>
        <v>1125</v>
      </c>
      <c r="L58" s="14">
        <f>'1º TRIMESTRE'!L31</f>
        <v>16571981.609999999</v>
      </c>
      <c r="M58" s="14">
        <f>'1º TRIMESTRE'!M31</f>
        <v>45293</v>
      </c>
      <c r="N58" s="14">
        <f>'1º TRIMESTRE'!N31</f>
        <v>0</v>
      </c>
      <c r="O58" s="14">
        <f>'1º TRIMESTRE'!O31</f>
        <v>0</v>
      </c>
      <c r="P58" s="14">
        <f>'1º TRIMESTRE'!P31</f>
        <v>3759599.49</v>
      </c>
      <c r="Q58" s="14" t="str">
        <f>'1º TRIMESTRE'!Q31</f>
        <v>3.3.90.39</v>
      </c>
      <c r="R58" s="14">
        <f>'1º TRIMESTRE'!R31</f>
        <v>6982369.6500000004</v>
      </c>
      <c r="S58" s="14">
        <f>'1º TRIMESTRE'!S31</f>
        <v>1462517.9</v>
      </c>
      <c r="T58" s="14">
        <f>'1º TRIMESTRE'!T31</f>
        <v>1462517.9</v>
      </c>
      <c r="U58" s="14" t="e">
        <f>'1º TRIMESTRE'!U31</f>
        <v>#REF!</v>
      </c>
      <c r="V58" s="14" t="str">
        <f>'1º TRIMESTRE'!V31</f>
        <v>andamento</v>
      </c>
      <c r="X58" s="39"/>
    </row>
    <row r="59" spans="1:25" ht="32.15">
      <c r="A59" s="14" t="str">
        <f>'1º TRIMESTRE'!A60</f>
        <v>DISP 003/2021</v>
      </c>
      <c r="B59" s="14" t="str">
        <f>'1º TRIMESTRE'!B60</f>
        <v>CONTRATACAO DE SERVICO. EM CARATER EMERGENCIAL. DE COLETA E LIMPEZA URBANA LOTE 1</v>
      </c>
      <c r="C59" s="14">
        <f>'1º TRIMESTRE'!C60</f>
        <v>0</v>
      </c>
      <c r="D59" s="14">
        <f>'1º TRIMESTRE'!D60</f>
        <v>0</v>
      </c>
      <c r="E59" s="14">
        <f>'1º TRIMESTRE'!E60</f>
        <v>0</v>
      </c>
      <c r="F59" s="14">
        <f>'1º TRIMESTRE'!F60</f>
        <v>0</v>
      </c>
      <c r="G59" s="14" t="str">
        <f>'1º TRIMESTRE'!G60</f>
        <v>12.854.865/0001-02</v>
      </c>
      <c r="H59" s="14" t="str">
        <f>'1º TRIMESTRE'!H60</f>
        <v>COELHO DE  ANDRADE ENGENHARIA LTDA</v>
      </c>
      <c r="I59" s="14" t="str">
        <f>'1º TRIMESTRE'!I60</f>
        <v>6-048/21</v>
      </c>
      <c r="J59" s="14">
        <f>'1º TRIMESTRE'!J60</f>
        <v>44469</v>
      </c>
      <c r="K59" s="14">
        <f>'1º TRIMESTRE'!K60</f>
        <v>180</v>
      </c>
      <c r="L59" s="14">
        <f>'1º TRIMESTRE'!L60</f>
        <v>26846364.449999999</v>
      </c>
      <c r="M59" s="14">
        <f>'1º TRIMESTRE'!M60</f>
        <v>44649</v>
      </c>
      <c r="N59" s="14">
        <f>'1º TRIMESTRE'!N60</f>
        <v>0</v>
      </c>
      <c r="O59" s="14">
        <f>'1º TRIMESTRE'!O60</f>
        <v>0</v>
      </c>
      <c r="P59" s="14">
        <f>'1º TRIMESTRE'!P60</f>
        <v>1905664.26</v>
      </c>
      <c r="Q59" s="14" t="str">
        <f>'1º TRIMESTRE'!Q60</f>
        <v>3.3.90.39</v>
      </c>
      <c r="R59" s="14">
        <f>'1º TRIMESTRE'!R60</f>
        <v>21900327</v>
      </c>
      <c r="S59" s="14">
        <f>'1º TRIMESTRE'!S60</f>
        <v>9132439.3599999994</v>
      </c>
      <c r="T59" s="14">
        <f>'1º TRIMESTRE'!T60</f>
        <v>9132439.3599999994</v>
      </c>
      <c r="U59" s="14" t="e">
        <f>'1º TRIMESTRE'!U60</f>
        <v>#REF!</v>
      </c>
      <c r="V59" s="14" t="str">
        <f>'1º TRIMESTRE'!V60</f>
        <v>andamento</v>
      </c>
      <c r="X59" s="39"/>
      <c r="Y59" s="37"/>
    </row>
    <row r="60" spans="1:25" ht="75">
      <c r="A60" s="14" t="str">
        <f>'1º TRIMESTRE'!A18</f>
        <v>CONCORRÊNCIA / nº 007/2019</v>
      </c>
      <c r="B60" s="14" t="str">
        <f>'1º TRIMESTRE'!B18</f>
        <v>EMPRESA DE ENGENHARIA ESPECIALIZADA EM ILUMINAÇÃO PÚBLICA, PARA FORNECIMENTO E INSTALAÇÃO DE EQUIPAMENTOS DE SEGURANÇA CONTRA VAZAMENTO DE CORRENTES ELÉTRICAS E ATERRAMENTO DOS POSTES DE ILUMINAÇÃO PUBLICA DAS PRAÇAS E PARQUES DA CIDADE DO RECIFE.</v>
      </c>
      <c r="C60" s="14">
        <f>'1º TRIMESTRE'!C18</f>
        <v>0</v>
      </c>
      <c r="D60" s="14">
        <f>'1º TRIMESTRE'!D18</f>
        <v>0</v>
      </c>
      <c r="E60" s="14">
        <f>'1º TRIMESTRE'!E18</f>
        <v>0</v>
      </c>
      <c r="F60" s="14">
        <f>'1º TRIMESTRE'!F18</f>
        <v>0</v>
      </c>
      <c r="G60" s="14" t="str">
        <f>'1º TRIMESTRE'!G18</f>
        <v>41.116.138/0001-38</v>
      </c>
      <c r="H60" s="14" t="str">
        <f>'1º TRIMESTRE'!H18</f>
        <v>REAL ENERGY LTDA</v>
      </c>
      <c r="I60" s="14" t="str">
        <f>'1º TRIMESTRE'!I18</f>
        <v>6-051/19</v>
      </c>
      <c r="J60" s="14">
        <f>'1º TRIMESTRE'!J18</f>
        <v>43769</v>
      </c>
      <c r="K60" s="14">
        <f>'1º TRIMESTRE'!K18</f>
        <v>760</v>
      </c>
      <c r="L60" s="14">
        <f>'1º TRIMESTRE'!L18</f>
        <v>2584195.6</v>
      </c>
      <c r="M60" s="14">
        <f>'1º TRIMESTRE'!M18</f>
        <v>44619</v>
      </c>
      <c r="N60" s="14">
        <f>'1º TRIMESTRE'!N18</f>
        <v>90</v>
      </c>
      <c r="O60" s="14">
        <f>'1º TRIMESTRE'!O18</f>
        <v>327163.7</v>
      </c>
      <c r="P60" s="14">
        <f>'1º TRIMESTRE'!P18</f>
        <v>-44558.22</v>
      </c>
      <c r="Q60" s="14" t="str">
        <f>'1º TRIMESTRE'!Q18</f>
        <v>3.3.90.39</v>
      </c>
      <c r="R60" s="14">
        <f>'1º TRIMESTRE'!R18</f>
        <v>2051214.3</v>
      </c>
      <c r="S60" s="14">
        <f>'1º TRIMESTRE'!S18</f>
        <v>65458.07</v>
      </c>
      <c r="T60" s="14">
        <f>'1º TRIMESTRE'!T18</f>
        <v>65458.07</v>
      </c>
      <c r="U60" s="14" t="e">
        <f>'1º TRIMESTRE'!U18</f>
        <v>#REF!</v>
      </c>
      <c r="V60" s="14" t="str">
        <f>'1º TRIMESTRE'!V18</f>
        <v>encerrado</v>
      </c>
      <c r="X60" s="39"/>
    </row>
    <row r="61" spans="1:25" ht="64.3">
      <c r="A61" s="14" t="str">
        <f>'1º TRIMESTRE'!A62</f>
        <v>Pregão Eletrônico Licitação: 032/2021</v>
      </c>
      <c r="B61" s="14" t="str">
        <f>'1º TRIMESTRE'!B62</f>
        <v>CONTRATAÇÃO DE EMPRESA ESPECIALIZADA NA PRESTAÇÃO DE SERVIÇOS CONTÍNUOS DE PAISAGISMO E CONSERVAÇÃO PREVENTIVA E CORRETIVA DE PARQUES, PRAÇAS, JARDINS E ÁREAS VERDES PÚBLICAS NA CIDADE DO RECIFE - LOTE 01</v>
      </c>
      <c r="C61" s="14">
        <f>'1º TRIMESTRE'!C62</f>
        <v>0</v>
      </c>
      <c r="D61" s="14">
        <f>'1º TRIMESTRE'!D62</f>
        <v>0</v>
      </c>
      <c r="E61" s="14">
        <f>'1º TRIMESTRE'!E62</f>
        <v>0</v>
      </c>
      <c r="F61" s="14">
        <f>'1º TRIMESTRE'!F62</f>
        <v>0</v>
      </c>
      <c r="G61" s="14" t="str">
        <f>'1º TRIMESTRE'!G62</f>
        <v>08.963.533/0001-80</v>
      </c>
      <c r="H61" s="14" t="str">
        <f>'1º TRIMESTRE'!H62</f>
        <v>FAR COMERCIO E SERVIÇOS PAISAGISTICOS LTDA</v>
      </c>
      <c r="I61" s="14" t="str">
        <f>'1º TRIMESTRE'!I62</f>
        <v>6-056/21</v>
      </c>
      <c r="J61" s="14">
        <f>'1º TRIMESTRE'!J62</f>
        <v>44531</v>
      </c>
      <c r="K61" s="14">
        <f>'1º TRIMESTRE'!K62</f>
        <v>760</v>
      </c>
      <c r="L61" s="14">
        <f>'1º TRIMESTRE'!L62</f>
        <v>3696587.52</v>
      </c>
      <c r="M61" s="14">
        <f>'1º TRIMESTRE'!M62</f>
        <v>45291</v>
      </c>
      <c r="N61" s="14">
        <f>'1º TRIMESTRE'!N62</f>
        <v>0</v>
      </c>
      <c r="O61" s="14">
        <f>'1º TRIMESTRE'!O62</f>
        <v>0</v>
      </c>
      <c r="P61" s="14">
        <f>'1º TRIMESTRE'!P62</f>
        <v>0</v>
      </c>
      <c r="Q61" s="14" t="str">
        <f>'1º TRIMESTRE'!Q62</f>
        <v>3.3.90.39</v>
      </c>
      <c r="R61" s="14">
        <f>'1º TRIMESTRE'!R62</f>
        <v>415369.05</v>
      </c>
      <c r="S61" s="14">
        <f>'1º TRIMESTRE'!S62</f>
        <v>249788.94</v>
      </c>
      <c r="T61" s="14">
        <f>'1º TRIMESTRE'!T62</f>
        <v>249788.94</v>
      </c>
      <c r="U61" s="14" t="e">
        <f>'1º TRIMESTRE'!U62</f>
        <v>#REF!</v>
      </c>
      <c r="V61" s="14" t="str">
        <f>'1º TRIMESTRE'!V62</f>
        <v>andamento</v>
      </c>
      <c r="X61" s="39"/>
    </row>
    <row r="62" spans="1:25" ht="64.3">
      <c r="A62" s="14" t="str">
        <f>'1º TRIMESTRE'!A63</f>
        <v>Pregão Eletrônico Licitação: 032/2021</v>
      </c>
      <c r="B62" s="14" t="str">
        <f>'1º TRIMESTRE'!B63</f>
        <v>CONTRATAÇÃO DE EMPRESA ESPECIALIZADA NA PRESTAÇÃO DE SERVIÇOS CONTÍNUOS DE PAISAGISMO E CONSERVAÇÃO PREVENTIVA E CORRETIVA DE PARQUES, PRAÇAS, JARDINS E ÁREAS VERDES PÚBLICOS NA CIDADE DO RECIFE - LOTE 02</v>
      </c>
      <c r="C62" s="14">
        <f>'1º TRIMESTRE'!C63</f>
        <v>0</v>
      </c>
      <c r="D62" s="14">
        <f>'1º TRIMESTRE'!D63</f>
        <v>0</v>
      </c>
      <c r="E62" s="14">
        <f>'1º TRIMESTRE'!E63</f>
        <v>0</v>
      </c>
      <c r="F62" s="14">
        <f>'1º TRIMESTRE'!F63</f>
        <v>0</v>
      </c>
      <c r="G62" s="14" t="str">
        <f>'1º TRIMESTRE'!G63</f>
        <v>08.963.533/0001-80</v>
      </c>
      <c r="H62" s="14" t="str">
        <f>'1º TRIMESTRE'!H63</f>
        <v>FAR COMERCIO E SERVIÇOS PAISAGISTICOS LTDA</v>
      </c>
      <c r="I62" s="14" t="str">
        <f>'1º TRIMESTRE'!I63</f>
        <v>6-057/21</v>
      </c>
      <c r="J62" s="14">
        <f>'1º TRIMESTRE'!J63</f>
        <v>44532</v>
      </c>
      <c r="K62" s="14">
        <f>'1º TRIMESTRE'!K63</f>
        <v>760</v>
      </c>
      <c r="L62" s="14">
        <f>'1º TRIMESTRE'!L63</f>
        <v>3380477.52</v>
      </c>
      <c r="M62" s="14">
        <f>'1º TRIMESTRE'!M63</f>
        <v>45292</v>
      </c>
      <c r="N62" s="14">
        <f>'1º TRIMESTRE'!N63</f>
        <v>0</v>
      </c>
      <c r="O62" s="14">
        <f>'1º TRIMESTRE'!O63</f>
        <v>0</v>
      </c>
      <c r="P62" s="14">
        <f>'1º TRIMESTRE'!P63</f>
        <v>0</v>
      </c>
      <c r="Q62" s="14" t="str">
        <f>'1º TRIMESTRE'!Q63</f>
        <v>3.3.90.39</v>
      </c>
      <c r="R62" s="14">
        <f>'1º TRIMESTRE'!R63</f>
        <v>422559.69</v>
      </c>
      <c r="S62" s="14">
        <f>'1º TRIMESTRE'!S63</f>
        <v>222137</v>
      </c>
      <c r="T62" s="14">
        <f>'1º TRIMESTRE'!T63</f>
        <v>222137</v>
      </c>
      <c r="U62" s="14" t="e">
        <f>'1º TRIMESTRE'!U63</f>
        <v>#REF!</v>
      </c>
      <c r="V62" s="14" t="str">
        <f>'1º TRIMESTRE'!V63</f>
        <v>andamento</v>
      </c>
      <c r="X62" s="39"/>
    </row>
    <row r="63" spans="1:25" ht="64.3">
      <c r="A63" s="14" t="str">
        <f>'1º TRIMESTRE'!A76</f>
        <v>CONCORRÊNCIA / nº 014/2021</v>
      </c>
      <c r="B63" s="14" t="str">
        <f>'1º TRIMESTRE'!B76</f>
        <v>CONTRATAÇÃO DE EMPRESA DE ENGENHARIA, ESPECIALIZADA EM ILUMINAÇÃO PÚBLICA, PARA FORNECIMENTO E INSTALAÇÃO DE LUMINÁRIAS COM TECNOLOGIA LED RGB E REDE ELÉTRICA, PARA ILUMINAÇÃO CÊNICA DO PARQUE DONA LINDU, BOA VIAGEM</v>
      </c>
      <c r="C63" s="14" t="str">
        <f>'1º TRIMESTRE'!C76</f>
        <v>532561/2020</v>
      </c>
      <c r="D63" s="14" t="str">
        <f>'1º TRIMESTRE'!D76</f>
        <v>FINISA</v>
      </c>
      <c r="E63" s="14">
        <f>'1º TRIMESTRE'!E76</f>
        <v>50000000</v>
      </c>
      <c r="F63" s="14">
        <f>'1º TRIMESTRE'!F76</f>
        <v>0</v>
      </c>
      <c r="G63" s="14" t="str">
        <f>'1º TRIMESTRE'!G76</f>
        <v>03.834.750/0001-57</v>
      </c>
      <c r="H63" s="14" t="str">
        <f>'1º TRIMESTRE'!H76</f>
        <v>EIP SERVICOS DE ILUMINACAO LTDA</v>
      </c>
      <c r="I63" s="14" t="str">
        <f>'1º TRIMESTRE'!I76</f>
        <v>6-001/22</v>
      </c>
      <c r="J63" s="14">
        <f>'1º TRIMESTRE'!J76</f>
        <v>44599</v>
      </c>
      <c r="K63" s="14">
        <f>'1º TRIMESTRE'!K76</f>
        <v>150</v>
      </c>
      <c r="L63" s="14">
        <f>'1º TRIMESTRE'!L76</f>
        <v>2245061.8199999998</v>
      </c>
      <c r="M63" s="14">
        <f>'1º TRIMESTRE'!M76</f>
        <v>44749</v>
      </c>
      <c r="N63" s="14">
        <f>'1º TRIMESTRE'!N76</f>
        <v>0</v>
      </c>
      <c r="O63" s="14">
        <f>'1º TRIMESTRE'!O76</f>
        <v>0</v>
      </c>
      <c r="P63" s="14">
        <f>'1º TRIMESTRE'!P76</f>
        <v>0</v>
      </c>
      <c r="Q63" s="14" t="str">
        <f>'1º TRIMESTRE'!Q76</f>
        <v>4.4.90.39</v>
      </c>
      <c r="R63" s="14">
        <f>'1º TRIMESTRE'!R76</f>
        <v>0</v>
      </c>
      <c r="S63" s="14">
        <f>'1º TRIMESTRE'!S76</f>
        <v>0</v>
      </c>
      <c r="T63" s="14">
        <f>'1º TRIMESTRE'!T76</f>
        <v>0</v>
      </c>
      <c r="U63" s="14" t="e">
        <f>'1º TRIMESTRE'!U76</f>
        <v>#REF!</v>
      </c>
      <c r="V63" s="14" t="str">
        <f>'1º TRIMESTRE'!V76</f>
        <v>andamento</v>
      </c>
      <c r="X63" s="39"/>
    </row>
    <row r="64" spans="1:25" ht="42.9">
      <c r="A64" s="14" t="str">
        <f>'1º TRIMESTRE'!A77</f>
        <v>CONCORRÊNCIA / nº 012/2021</v>
      </c>
      <c r="B64" s="14" t="str">
        <f>'1º TRIMESTRE'!B77</f>
        <v>CONTRATAÇÃO DE EMPRESA DE ENGENHARIA, ESPECIALIZADA EM ILUMINAÇÃO PÚBLICA, PARA SERVIÇOS DE APOIO TÉCNICO PARA CIDADE DO RECIFE.</v>
      </c>
      <c r="C64" s="14">
        <f>'1º TRIMESTRE'!C77</f>
        <v>0</v>
      </c>
      <c r="D64" s="14">
        <f>'1º TRIMESTRE'!D77</f>
        <v>0</v>
      </c>
      <c r="E64" s="14">
        <f>'1º TRIMESTRE'!E77</f>
        <v>0</v>
      </c>
      <c r="F64" s="14">
        <f>'1º TRIMESTRE'!F77</f>
        <v>0</v>
      </c>
      <c r="G64" s="14" t="str">
        <f>'1º TRIMESTRE'!G77</f>
        <v>03.834.750/0001-57</v>
      </c>
      <c r="H64" s="14" t="str">
        <f>'1º TRIMESTRE'!H77</f>
        <v>EIP SERVICOS DE ILUMINACAO LTDA</v>
      </c>
      <c r="I64" s="14" t="str">
        <f>'1º TRIMESTRE'!I77</f>
        <v>6-002/22</v>
      </c>
      <c r="J64" s="14">
        <f>'1º TRIMESTRE'!J77</f>
        <v>44589</v>
      </c>
      <c r="K64" s="14">
        <f>'1º TRIMESTRE'!K77</f>
        <v>760</v>
      </c>
      <c r="L64" s="14">
        <f>'1º TRIMESTRE'!L77</f>
        <v>1418802</v>
      </c>
      <c r="M64" s="14">
        <f>'1º TRIMESTRE'!M77</f>
        <v>45349</v>
      </c>
      <c r="N64" s="14">
        <f>'1º TRIMESTRE'!N77</f>
        <v>0</v>
      </c>
      <c r="O64" s="14">
        <f>'1º TRIMESTRE'!O77</f>
        <v>130967.16</v>
      </c>
      <c r="P64" s="14">
        <f>'1º TRIMESTRE'!P77</f>
        <v>0</v>
      </c>
      <c r="Q64" s="14" t="str">
        <f>'1º TRIMESTRE'!Q77</f>
        <v>3.3.90.39</v>
      </c>
      <c r="R64" s="14">
        <f>'1º TRIMESTRE'!R77</f>
        <v>33619.910000000003</v>
      </c>
      <c r="S64" s="14">
        <f>'1º TRIMESTRE'!S77</f>
        <v>33619.910000000003</v>
      </c>
      <c r="T64" s="14">
        <f>'1º TRIMESTRE'!T77</f>
        <v>33619.910000000003</v>
      </c>
      <c r="U64" s="14" t="e">
        <f>'1º TRIMESTRE'!U77</f>
        <v>#REF!</v>
      </c>
      <c r="V64" s="14" t="str">
        <f>'1º TRIMESTRE'!V77</f>
        <v>andamento</v>
      </c>
      <c r="X64" s="39"/>
    </row>
    <row r="65" spans="1:109" ht="53.6">
      <c r="A65" s="14" t="str">
        <f>'1º TRIMESTRE'!A78</f>
        <v>CONCORRÊNCIA / nº 008/2021</v>
      </c>
      <c r="B65" s="14" t="str">
        <f>'1º TRIMESTRE'!B78</f>
        <v>CONTRATAÇÃO DE EMPRESA DE ENGENHARIA, ESPECIALIZADA EM ILUMINAÇÃO PÚBLICA, PARA EXECUÇÃO DA MANUTENÇÃO, PREVENTIVA E CORRETIVA, DO SISTEMA DE ILUMINAÇÃO CÊNICA DA CIDADE DO RECIFE</v>
      </c>
      <c r="C65" s="14" t="str">
        <f>'1º TRIMESTRE'!C78</f>
        <v>532561/2020</v>
      </c>
      <c r="D65" s="14" t="str">
        <f>'1º TRIMESTRE'!D78</f>
        <v>FINISA</v>
      </c>
      <c r="E65" s="14">
        <f>'1º TRIMESTRE'!E78</f>
        <v>50000000</v>
      </c>
      <c r="F65" s="14">
        <f>'1º TRIMESTRE'!F78</f>
        <v>0</v>
      </c>
      <c r="G65" s="14" t="str">
        <f>'1º TRIMESTRE'!G78</f>
        <v>03.834.750/0001-57</v>
      </c>
      <c r="H65" s="14" t="str">
        <f>'1º TRIMESTRE'!H78</f>
        <v>EIP SERVICOS DE ILUMINACAO LTDA</v>
      </c>
      <c r="I65" s="14" t="str">
        <f>'1º TRIMESTRE'!I78</f>
        <v>6-003/22</v>
      </c>
      <c r="J65" s="14">
        <f>'1º TRIMESTRE'!J78</f>
        <v>44589</v>
      </c>
      <c r="K65" s="14">
        <f>'1º TRIMESTRE'!K78</f>
        <v>760</v>
      </c>
      <c r="L65" s="14">
        <f>'1º TRIMESTRE'!L78</f>
        <v>3730846.67</v>
      </c>
      <c r="M65" s="14">
        <f>'1º TRIMESTRE'!M78</f>
        <v>45349</v>
      </c>
      <c r="N65" s="14">
        <f>'1º TRIMESTRE'!N78</f>
        <v>0</v>
      </c>
      <c r="O65" s="14">
        <f>'1º TRIMESTRE'!O78</f>
        <v>0</v>
      </c>
      <c r="P65" s="14">
        <f>'1º TRIMESTRE'!P78</f>
        <v>0</v>
      </c>
      <c r="Q65" s="14" t="str">
        <f>'1º TRIMESTRE'!Q78</f>
        <v>4.4.90.39</v>
      </c>
      <c r="R65" s="14">
        <f>'1º TRIMESTRE'!R78</f>
        <v>0</v>
      </c>
      <c r="S65" s="14">
        <f>'1º TRIMESTRE'!S78</f>
        <v>0</v>
      </c>
      <c r="T65" s="14">
        <f>'1º TRIMESTRE'!T78</f>
        <v>0</v>
      </c>
      <c r="U65" s="14" t="e">
        <f>'1º TRIMESTRE'!U78</f>
        <v>#REF!</v>
      </c>
      <c r="V65" s="14" t="str">
        <f>'1º TRIMESTRE'!V78</f>
        <v>andamento</v>
      </c>
      <c r="X65" s="39"/>
    </row>
    <row r="66" spans="1:109" ht="42.9">
      <c r="A66" s="14" t="str">
        <f>'1º TRIMESTRE'!A79</f>
        <v>Pregão Eletrônico Licitação: 037/2021</v>
      </c>
      <c r="B66" s="14" t="str">
        <f>'1º TRIMESTRE'!B79</f>
        <v>SERVIÇOS DE INFRAESTURURA PARA IMPLANTAÇÃO DO MEMORIAL JUDAICO EM HONRA AO POVO JUDEU, NA PRAÇA TIRADENTES BAIRRO DO RECIFE, RECIFE - PE</v>
      </c>
      <c r="C66" s="14">
        <f>'1º TRIMESTRE'!C79</f>
        <v>0</v>
      </c>
      <c r="D66" s="14">
        <f>'1º TRIMESTRE'!D79</f>
        <v>0</v>
      </c>
      <c r="E66" s="14">
        <f>'1º TRIMESTRE'!E79</f>
        <v>0</v>
      </c>
      <c r="F66" s="14">
        <f>'1º TRIMESTRE'!F79</f>
        <v>0</v>
      </c>
      <c r="G66" s="14" t="str">
        <f>'1º TRIMESTRE'!G79</f>
        <v>22.257.930/0001-68</v>
      </c>
      <c r="H66" s="14" t="str">
        <f>'1º TRIMESTRE'!H79</f>
        <v>G O DOS SANTOS CONSTRUCOES EIRELI</v>
      </c>
      <c r="I66" s="14" t="str">
        <f>'1º TRIMESTRE'!I79</f>
        <v>6-004/22</v>
      </c>
      <c r="J66" s="14">
        <f>'1º TRIMESTRE'!J79</f>
        <v>44602</v>
      </c>
      <c r="K66" s="14">
        <f>'1º TRIMESTRE'!K79</f>
        <v>60</v>
      </c>
      <c r="L66" s="14">
        <f>'1º TRIMESTRE'!L79</f>
        <v>119999.98</v>
      </c>
      <c r="M66" s="14">
        <f>'1º TRIMESTRE'!M79</f>
        <v>44662</v>
      </c>
      <c r="N66" s="14">
        <f>'1º TRIMESTRE'!N79</f>
        <v>0</v>
      </c>
      <c r="O66" s="14">
        <f>'1º TRIMESTRE'!O79</f>
        <v>0</v>
      </c>
      <c r="P66" s="14">
        <f>'1º TRIMESTRE'!P79</f>
        <v>0</v>
      </c>
      <c r="Q66" s="14" t="str">
        <f>'1º TRIMESTRE'!Q79</f>
        <v>4.4.90.39</v>
      </c>
      <c r="R66" s="14">
        <f>'1º TRIMESTRE'!R79</f>
        <v>0</v>
      </c>
      <c r="S66" s="14">
        <f>'1º TRIMESTRE'!S79</f>
        <v>0</v>
      </c>
      <c r="T66" s="14">
        <f>'1º TRIMESTRE'!T79</f>
        <v>0</v>
      </c>
      <c r="U66" s="14" t="e">
        <f>'1º TRIMESTRE'!U79</f>
        <v>#REF!</v>
      </c>
      <c r="V66" s="14" t="str">
        <f>'1º TRIMESTRE'!V79</f>
        <v>cadastrado</v>
      </c>
      <c r="X66" s="39"/>
    </row>
    <row r="67" spans="1:109" ht="64.3">
      <c r="A67" s="14" t="str">
        <f>'1º TRIMESTRE'!A80</f>
        <v>Tomada de Preço Licitação: 009/2021</v>
      </c>
      <c r="B67" s="14" t="str">
        <f>'1º TRIMESTRE'!B80</f>
        <v>SERVIÇOS DE REFORMA DE DIVERSOS PRÉDIOS PÚBLICOS MANTIDOS PELA EMLURB: LOTE 01 DLU E GOFIS DA RPA 01 E RPA 06, LOTE 02 DIVERSOS BANHEIROS PÚBLICOS, SEDE DA EMLURB E LABORATÓRIO. LOCALIZADOS EM DIVERSOS BAIRROS DA CIDADE DO RECIFE PE</v>
      </c>
      <c r="C67" s="14">
        <f>'1º TRIMESTRE'!C80</f>
        <v>0</v>
      </c>
      <c r="D67" s="14">
        <f>'1º TRIMESTRE'!D80</f>
        <v>0</v>
      </c>
      <c r="E67" s="14">
        <f>'1º TRIMESTRE'!E80</f>
        <v>0</v>
      </c>
      <c r="F67" s="14">
        <f>'1º TRIMESTRE'!F80</f>
        <v>0</v>
      </c>
      <c r="G67" s="14" t="str">
        <f>'1º TRIMESTRE'!G80</f>
        <v>30.700.985/0001-29</v>
      </c>
      <c r="H67" s="14" t="str">
        <f>'1º TRIMESTRE'!H80</f>
        <v>CONSTRUTORA MANASSU LTDA</v>
      </c>
      <c r="I67" s="14" t="str">
        <f>'1º TRIMESTRE'!I80</f>
        <v>6-005/22</v>
      </c>
      <c r="J67" s="14">
        <f>'1º TRIMESTRE'!J80</f>
        <v>44606</v>
      </c>
      <c r="K67" s="14">
        <f>'1º TRIMESTRE'!K80</f>
        <v>270</v>
      </c>
      <c r="L67" s="14">
        <f>'1º TRIMESTRE'!L80</f>
        <v>493303.08</v>
      </c>
      <c r="M67" s="14">
        <f>'1º TRIMESTRE'!M80</f>
        <v>44876</v>
      </c>
      <c r="N67" s="14">
        <f>'1º TRIMESTRE'!N80</f>
        <v>0</v>
      </c>
      <c r="O67" s="14">
        <f>'1º TRIMESTRE'!O80</f>
        <v>0</v>
      </c>
      <c r="P67" s="14">
        <f>'1º TRIMESTRE'!P80</f>
        <v>0</v>
      </c>
      <c r="Q67" s="14" t="str">
        <f>'1º TRIMESTRE'!Q80</f>
        <v>4.4.90.39</v>
      </c>
      <c r="R67" s="14">
        <f>'1º TRIMESTRE'!R80</f>
        <v>0</v>
      </c>
      <c r="S67" s="14">
        <f>'1º TRIMESTRE'!S80</f>
        <v>0</v>
      </c>
      <c r="T67" s="14">
        <f>'1º TRIMESTRE'!T80</f>
        <v>0</v>
      </c>
      <c r="U67" s="14" t="e">
        <f>'1º TRIMESTRE'!U80</f>
        <v>#REF!</v>
      </c>
      <c r="V67" s="14" t="str">
        <f>'1º TRIMESTRE'!V80</f>
        <v>andamento</v>
      </c>
      <c r="X67" s="39"/>
    </row>
    <row r="68" spans="1:109" s="21" customFormat="1" ht="64.3">
      <c r="A68" s="14" t="str">
        <f>'1º TRIMESTRE'!A81</f>
        <v>CREDENCIAMENTO Licitação: 001/2021</v>
      </c>
      <c r="B68" s="14" t="str">
        <f>'1º TRIMESTRE'!B81</f>
        <v>CREDENCIAMENTO DE EMPRESA ESPECIALIZADA EM ENGENHARIA SANITÁRIA PARA RECOLHIMENTO, TRATAMENTO E DISPOSIÇÃO FINAL AMBIENTALMENTE CORRETO DE LÍQUIDOS ORIUNDOS DO ATERRO DESATIVADO DA MURIBECA SOB RESPONSABILIDADE DA EMLURB</v>
      </c>
      <c r="C68" s="14">
        <f>'1º TRIMESTRE'!C81</f>
        <v>0</v>
      </c>
      <c r="D68" s="14">
        <f>'1º TRIMESTRE'!D81</f>
        <v>0</v>
      </c>
      <c r="E68" s="14">
        <f>'1º TRIMESTRE'!E81</f>
        <v>0</v>
      </c>
      <c r="F68" s="14">
        <f>'1º TRIMESTRE'!F81</f>
        <v>0</v>
      </c>
      <c r="G68" s="14" t="str">
        <f>'1º TRIMESTRE'!G81</f>
        <v>08.165.091/0002-08</v>
      </c>
      <c r="H68" s="14" t="str">
        <f>'1º TRIMESTRE'!H81</f>
        <v>ECOPESA AMBIENTAL S.A.</v>
      </c>
      <c r="I68" s="14" t="str">
        <f>'1º TRIMESTRE'!I81</f>
        <v>6-006/22</v>
      </c>
      <c r="J68" s="14">
        <f>'1º TRIMESTRE'!J81</f>
        <v>44606</v>
      </c>
      <c r="K68" s="14">
        <f>'1º TRIMESTRE'!K81</f>
        <v>395</v>
      </c>
      <c r="L68" s="14">
        <f>'1º TRIMESTRE'!L81</f>
        <v>1392960</v>
      </c>
      <c r="M68" s="14">
        <f>'1º TRIMESTRE'!M81</f>
        <v>45001</v>
      </c>
      <c r="N68" s="14">
        <f>'1º TRIMESTRE'!N81</f>
        <v>0</v>
      </c>
      <c r="O68" s="14">
        <f>'1º TRIMESTRE'!O81</f>
        <v>0</v>
      </c>
      <c r="P68" s="14">
        <f>'1º TRIMESTRE'!P81</f>
        <v>0</v>
      </c>
      <c r="Q68" s="14" t="str">
        <f>'1º TRIMESTRE'!Q81</f>
        <v>3.3.90.39</v>
      </c>
      <c r="R68" s="14">
        <f>'1º TRIMESTRE'!R81</f>
        <v>203952.56</v>
      </c>
      <c r="S68" s="14">
        <f>'1º TRIMESTRE'!S81</f>
        <v>203952.56</v>
      </c>
      <c r="T68" s="14">
        <f>'1º TRIMESTRE'!T81</f>
        <v>203952.56</v>
      </c>
      <c r="U68" s="14" t="e">
        <f>'1º TRIMESTRE'!U81</f>
        <v>#REF!</v>
      </c>
      <c r="V68" s="14" t="str">
        <f>'1º TRIMESTRE'!V81</f>
        <v>andamento</v>
      </c>
      <c r="W68" s="10"/>
      <c r="X68" s="39"/>
      <c r="Y68" s="9"/>
      <c r="Z68" s="20"/>
      <c r="AA68" s="20"/>
      <c r="AB68" s="20"/>
      <c r="AC68" s="25"/>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row>
    <row r="69" spans="1:109" ht="64.3">
      <c r="A69" s="14" t="str">
        <f>'1º TRIMESTRE'!A82</f>
        <v>Tomada de Preço Licitação: 011/2021</v>
      </c>
      <c r="B69" s="14" t="str">
        <f>'1º TRIMESTRE'!B82</f>
        <v>CONTRATAÇÃO DE EMPRESA DE ENGENHARIA, ESPECIALIZADA EM ILUMINAÇÃO PÚBLICA, PARA FORNECIMENTO DE LUMINÁRIAS COM TECNOLOGIA LED RGB E REDE ELÉTRICA, PARA ILUMINAÇÃO CÊNICA DA PASSARELA JOANA BEZERRA.</v>
      </c>
      <c r="C69" s="14" t="str">
        <f>'1º TRIMESTRE'!C82</f>
        <v>532561/2020</v>
      </c>
      <c r="D69" s="14" t="str">
        <f>'1º TRIMESTRE'!D82</f>
        <v>FINISA</v>
      </c>
      <c r="E69" s="14">
        <f>'1º TRIMESTRE'!E82</f>
        <v>50000000</v>
      </c>
      <c r="F69" s="14">
        <f>'1º TRIMESTRE'!F82</f>
        <v>0</v>
      </c>
      <c r="G69" s="14" t="str">
        <f>'1º TRIMESTRE'!G82</f>
        <v>01.346.561/0001-00</v>
      </c>
      <c r="H69" s="14" t="str">
        <f>'1º TRIMESTRE'!H82</f>
        <v>VASCONCELOS E SANTOS LTDA</v>
      </c>
      <c r="I69" s="14" t="str">
        <f>'1º TRIMESTRE'!I82</f>
        <v>6-007/22</v>
      </c>
      <c r="J69" s="14">
        <f>'1º TRIMESTRE'!J82</f>
        <v>44610</v>
      </c>
      <c r="K69" s="14">
        <f>'1º TRIMESTRE'!K82</f>
        <v>150</v>
      </c>
      <c r="L69" s="14">
        <f>'1º TRIMESTRE'!L82</f>
        <v>811940.61</v>
      </c>
      <c r="M69" s="14">
        <f>'1º TRIMESTRE'!M82</f>
        <v>44760</v>
      </c>
      <c r="N69" s="14">
        <f>'1º TRIMESTRE'!N82</f>
        <v>0</v>
      </c>
      <c r="O69" s="14">
        <f>'1º TRIMESTRE'!O82</f>
        <v>0</v>
      </c>
      <c r="P69" s="14">
        <f>'1º TRIMESTRE'!P82</f>
        <v>0</v>
      </c>
      <c r="Q69" s="14" t="str">
        <f>'1º TRIMESTRE'!Q82</f>
        <v>4.4.90.39</v>
      </c>
      <c r="R69" s="14">
        <f>'1º TRIMESTRE'!R82</f>
        <v>0</v>
      </c>
      <c r="S69" s="14">
        <f>'1º TRIMESTRE'!S82</f>
        <v>0</v>
      </c>
      <c r="T69" s="14">
        <f>'1º TRIMESTRE'!T82</f>
        <v>0</v>
      </c>
      <c r="U69" s="14" t="e">
        <f>'1º TRIMESTRE'!U82</f>
        <v>#REF!</v>
      </c>
      <c r="V69" s="14" t="str">
        <f>'1º TRIMESTRE'!V82</f>
        <v>andamento</v>
      </c>
      <c r="X69" s="39"/>
    </row>
    <row r="70" spans="1:109" ht="32.15">
      <c r="A70" s="14" t="str">
        <f>'1º TRIMESTRE'!A83</f>
        <v>CONCORRÊNCIA / nº 017/2021</v>
      </c>
      <c r="B70" s="14" t="str">
        <f>'1º TRIMESTRE'!B83</f>
        <v>IMPLANTAÇÃO DE TRECHO DE DRENAGEM DA RUA VINTE E UM DE ABRIL COM A RUA LÍDIA GUIMARÃES, EM AFOGADOS RECIE-PE</v>
      </c>
      <c r="C70" s="14">
        <f>'1º TRIMESTRE'!C83</f>
        <v>0</v>
      </c>
      <c r="D70" s="14">
        <f>'1º TRIMESTRE'!D83</f>
        <v>0</v>
      </c>
      <c r="E70" s="14">
        <f>'1º TRIMESTRE'!E83</f>
        <v>0</v>
      </c>
      <c r="F70" s="14">
        <f>'1º TRIMESTRE'!F83</f>
        <v>0</v>
      </c>
      <c r="G70" s="14" t="str">
        <f>'1º TRIMESTRE'!G83</f>
        <v>10.893.105/0001-70</v>
      </c>
      <c r="H70" s="14" t="str">
        <f>'1º TRIMESTRE'!H83</f>
        <v>AGILIS CONSTRUTORA LTDA</v>
      </c>
      <c r="I70" s="14" t="str">
        <f>'1º TRIMESTRE'!I83</f>
        <v>6-008/22</v>
      </c>
      <c r="J70" s="14">
        <f>'1º TRIMESTRE'!J83</f>
        <v>44615</v>
      </c>
      <c r="K70" s="14">
        <f>'1º TRIMESTRE'!K83</f>
        <v>180</v>
      </c>
      <c r="L70" s="14">
        <f>'1º TRIMESTRE'!L83</f>
        <v>477968.09</v>
      </c>
      <c r="M70" s="14">
        <f>'1º TRIMESTRE'!M83</f>
        <v>44795</v>
      </c>
      <c r="N70" s="14">
        <f>'1º TRIMESTRE'!N83</f>
        <v>0</v>
      </c>
      <c r="O70" s="14">
        <f>'1º TRIMESTRE'!O83</f>
        <v>0</v>
      </c>
      <c r="P70" s="14">
        <f>'1º TRIMESTRE'!P83</f>
        <v>0</v>
      </c>
      <c r="Q70" s="14" t="str">
        <f>'1º TRIMESTRE'!Q83</f>
        <v>4.4.90.39</v>
      </c>
      <c r="R70" s="14">
        <f>'1º TRIMESTRE'!R83</f>
        <v>266723.90000000002</v>
      </c>
      <c r="S70" s="14">
        <f>'1º TRIMESTRE'!S83</f>
        <v>266723.90000000002</v>
      </c>
      <c r="T70" s="14">
        <f>'1º TRIMESTRE'!T83</f>
        <v>266723.90000000002</v>
      </c>
      <c r="U70" s="14" t="e">
        <f>'1º TRIMESTRE'!U83</f>
        <v>#REF!</v>
      </c>
      <c r="V70" s="14" t="str">
        <f>'1º TRIMESTRE'!V83</f>
        <v>andamento</v>
      </c>
      <c r="X70" s="39"/>
    </row>
    <row r="71" spans="1:109" ht="75">
      <c r="A71" s="14" t="str">
        <f>'1º TRIMESTRE'!A84</f>
        <v>CONCORRÊNCIA / nº 018/2021</v>
      </c>
      <c r="B71" s="14" t="str">
        <f>'1º TRIMESTRE'!B84</f>
        <v>SERVIÇOS DE REQUALIFICAÇÃO DE PAVIMENTAÇÃO, DRENAGEM, ACESSIBILIDADE E SINALIZAÇÃO DA RUA CARLOS PEREIRA FALÇÃO TRECHO ENTRE AS RUAS VISCONDE DE JEQUITINHONHA E TENENTE DOMINGOS DE BRITO LOCALIZADA NO BAIRRO DE BOA VIAGEM NA CIDADE DO RECIFE - PE</v>
      </c>
      <c r="C71" s="14" t="str">
        <f>'1º TRIMESTRE'!C84</f>
        <v>899753/2020</v>
      </c>
      <c r="D71" s="14" t="str">
        <f>'1º TRIMESTRE'!D84</f>
        <v>Emenda Parlamentar Federal</v>
      </c>
      <c r="E71" s="14">
        <f>'1º TRIMESTRE'!E84</f>
        <v>767341</v>
      </c>
      <c r="F71" s="14">
        <f>'1º TRIMESTRE'!F84</f>
        <v>8000</v>
      </c>
      <c r="G71" s="14" t="str">
        <f>'1º TRIMESTRE'!G84</f>
        <v>10.893.105/0001-70</v>
      </c>
      <c r="H71" s="14" t="str">
        <f>'1º TRIMESTRE'!H84</f>
        <v>AGILIS CONSTRUTORA LTDA</v>
      </c>
      <c r="I71" s="14" t="str">
        <f>'1º TRIMESTRE'!I84</f>
        <v>6-009/22</v>
      </c>
      <c r="J71" s="14">
        <f>'1º TRIMESTRE'!J84</f>
        <v>44630</v>
      </c>
      <c r="K71" s="14">
        <f>'1º TRIMESTRE'!K84</f>
        <v>180</v>
      </c>
      <c r="L71" s="14">
        <f>'1º TRIMESTRE'!L84</f>
        <v>730428.03</v>
      </c>
      <c r="M71" s="14">
        <f>'1º TRIMESTRE'!M84</f>
        <v>44810</v>
      </c>
      <c r="N71" s="14">
        <f>'1º TRIMESTRE'!N84</f>
        <v>0</v>
      </c>
      <c r="O71" s="14">
        <f>'1º TRIMESTRE'!O84</f>
        <v>0</v>
      </c>
      <c r="P71" s="14">
        <f>'1º TRIMESTRE'!P84</f>
        <v>0</v>
      </c>
      <c r="Q71" s="14" t="str">
        <f>'1º TRIMESTRE'!Q84</f>
        <v>4.4.90.39</v>
      </c>
      <c r="R71" s="14">
        <f>'1º TRIMESTRE'!R84</f>
        <v>0</v>
      </c>
      <c r="S71" s="14">
        <f>'1º TRIMESTRE'!S84</f>
        <v>0</v>
      </c>
      <c r="T71" s="14">
        <f>'1º TRIMESTRE'!T84</f>
        <v>0</v>
      </c>
      <c r="U71" s="14" t="e">
        <f>'1º TRIMESTRE'!U84</f>
        <v>#REF!</v>
      </c>
      <c r="V71" s="14" t="str">
        <f>'1º TRIMESTRE'!V84</f>
        <v>cadastrado</v>
      </c>
      <c r="X71" s="39"/>
    </row>
    <row r="72" spans="1:109" ht="64.3">
      <c r="A72" s="14" t="str">
        <f>'1º TRIMESTRE'!A85</f>
        <v>Pregão Eletrônico Licitação: 002/2022</v>
      </c>
      <c r="B72" s="14" t="str">
        <f>'1º TRIMESTRE'!B85</f>
        <v>CONTRATAÇÃO DE PESSOA S JURÍDICA S ESPECIALIZADA EM ENGENHARIA SANITÁRIA PARA RECEBIMENTO, TRATAMENTO E DISPOSIÇÃO FINAL DE RESÍDUOS DE CONSTRUÇÃO RCC CLASSE A INERTE COLETADOS PELA EMLURB NO MUNICÍPIO DO RECIFE</v>
      </c>
      <c r="C72" s="14">
        <f>'1º TRIMESTRE'!C85</f>
        <v>0</v>
      </c>
      <c r="D72" s="14">
        <f>'1º TRIMESTRE'!D85</f>
        <v>0</v>
      </c>
      <c r="E72" s="14">
        <f>'1º TRIMESTRE'!E85</f>
        <v>0</v>
      </c>
      <c r="F72" s="14">
        <f>'1º TRIMESTRE'!F85</f>
        <v>0</v>
      </c>
      <c r="G72" s="14" t="str">
        <f>'1º TRIMESTRE'!G85</f>
        <v>10.877.732/0001-18</v>
      </c>
      <c r="H72" s="14" t="str">
        <f>'1º TRIMESTRE'!H85</f>
        <v>CICLO AMBIENTAL LTDA</v>
      </c>
      <c r="I72" s="14" t="str">
        <f>'1º TRIMESTRE'!I85</f>
        <v>6-012/22</v>
      </c>
      <c r="J72" s="14">
        <f>'1º TRIMESTRE'!J85</f>
        <v>44635</v>
      </c>
      <c r="K72" s="14">
        <f>'1º TRIMESTRE'!K85</f>
        <v>1890</v>
      </c>
      <c r="L72" s="14">
        <f>'1º TRIMESTRE'!L85</f>
        <v>28992600</v>
      </c>
      <c r="M72" s="14">
        <f>'1º TRIMESTRE'!M85</f>
        <v>46525</v>
      </c>
      <c r="N72" s="14">
        <f>'1º TRIMESTRE'!N85</f>
        <v>0</v>
      </c>
      <c r="O72" s="14">
        <f>'1º TRIMESTRE'!O85</f>
        <v>0</v>
      </c>
      <c r="P72" s="14">
        <f>'1º TRIMESTRE'!P85</f>
        <v>0</v>
      </c>
      <c r="Q72" s="14" t="str">
        <f>'1º TRIMESTRE'!Q85</f>
        <v>3.3.90.39</v>
      </c>
      <c r="R72" s="14">
        <f>'1º TRIMESTRE'!R85</f>
        <v>0</v>
      </c>
      <c r="S72" s="14">
        <f>'1º TRIMESTRE'!S85</f>
        <v>0</v>
      </c>
      <c r="T72" s="14">
        <f>'1º TRIMESTRE'!T85</f>
        <v>0</v>
      </c>
      <c r="U72" s="14" t="e">
        <f>'1º TRIMESTRE'!U85</f>
        <v>#REF!</v>
      </c>
      <c r="V72" s="14" t="str">
        <f>'1º TRIMESTRE'!V85</f>
        <v>andamento</v>
      </c>
      <c r="X72" s="39"/>
    </row>
    <row r="73" spans="1:109" ht="75">
      <c r="A73" s="14" t="str">
        <f>'1º TRIMESTRE'!A86</f>
        <v>CONCORRÊNCIA / nº 018/2021</v>
      </c>
      <c r="B73" s="14" t="str">
        <f>'1º TRIMESTRE'!B86</f>
        <v>CONTRATAÇÃO DE EMPRESA ESPCIALIZADA NO RAMO DE ENGENHARIA PARA EXECUÇÃO DOS SERVIÇOS DE RECUPERAÇÃO DE REDE DE DRENAGEM E PAVIMENTAÇÃO DA RUA ACAJUTIBA, NO TRECHO ENTRE AS RUAS GÁLIA E PINTO FERREIRA, LOCALIZADAS NO BAIRRO DE BONGI, RECIFE - PE</v>
      </c>
      <c r="C73" s="14">
        <f>'1º TRIMESTRE'!C86</f>
        <v>0</v>
      </c>
      <c r="D73" s="14" t="str">
        <f>'1º TRIMESTRE'!D86</f>
        <v>Emenda Parlamentar Federal - TRANSFERÊNCIA  ESPECIAL - FELIPE CARRERA</v>
      </c>
      <c r="E73" s="14">
        <f>'1º TRIMESTRE'!E86</f>
        <v>3139993</v>
      </c>
      <c r="F73" s="14">
        <f>'1º TRIMESTRE'!F86</f>
        <v>0</v>
      </c>
      <c r="G73" s="14" t="str">
        <f>'1º TRIMESTRE'!G86</f>
        <v>03.608.944/0001-34</v>
      </c>
      <c r="H73" s="14" t="str">
        <f>'1º TRIMESTRE'!H86</f>
        <v>JEPAC CONSTRUCOES LTDA</v>
      </c>
      <c r="I73" s="14" t="str">
        <f>'1º TRIMESTRE'!I86</f>
        <v>6-013/22</v>
      </c>
      <c r="J73" s="14">
        <f>'1º TRIMESTRE'!J86</f>
        <v>44650</v>
      </c>
      <c r="K73" s="14">
        <f>'1º TRIMESTRE'!K86</f>
        <v>150</v>
      </c>
      <c r="L73" s="14">
        <f>'1º TRIMESTRE'!L86</f>
        <v>789983.51</v>
      </c>
      <c r="M73" s="14">
        <f>'1º TRIMESTRE'!M86</f>
        <v>44800</v>
      </c>
      <c r="N73" s="14">
        <f>'1º TRIMESTRE'!N86</f>
        <v>0</v>
      </c>
      <c r="O73" s="14">
        <f>'1º TRIMESTRE'!O86</f>
        <v>0</v>
      </c>
      <c r="P73" s="14">
        <f>'1º TRIMESTRE'!P86</f>
        <v>0</v>
      </c>
      <c r="Q73" s="14" t="str">
        <f>'1º TRIMESTRE'!Q86</f>
        <v>4.4.90.39</v>
      </c>
      <c r="R73" s="14">
        <f>'1º TRIMESTRE'!R86</f>
        <v>0</v>
      </c>
      <c r="S73" s="14">
        <f>'1º TRIMESTRE'!S86</f>
        <v>0</v>
      </c>
      <c r="T73" s="14">
        <f>'1º TRIMESTRE'!T86</f>
        <v>0</v>
      </c>
      <c r="U73" s="14" t="e">
        <f>'1º TRIMESTRE'!U86</f>
        <v>#REF!</v>
      </c>
      <c r="V73" s="14" t="str">
        <f>'1º TRIMESTRE'!V86</f>
        <v>andamento</v>
      </c>
      <c r="X73" s="39"/>
    </row>
    <row r="74" spans="1:109" ht="42.9">
      <c r="A74" s="14" t="str">
        <f>'1º TRIMESTRE'!A87</f>
        <v>CONCORRÊNCIA / nº 001/2021</v>
      </c>
      <c r="B74" s="14" t="str">
        <f>'1º TRIMESTRE'!B87</f>
        <v>CONTRATAÇÃO DE EMPRESA SANITÁRIA ESPECIALIZADA PARA A EXECUÇÃO DOS SERVIÇOS DE COLETA E LIMPEZA URBANA NO MUNICÍPIO DO RECIFE. LOTE 1- A</v>
      </c>
      <c r="C74" s="14">
        <f>'1º TRIMESTRE'!C87</f>
        <v>0</v>
      </c>
      <c r="D74" s="14">
        <f>'1º TRIMESTRE'!D87</f>
        <v>0</v>
      </c>
      <c r="E74" s="14">
        <f>'1º TRIMESTRE'!E87</f>
        <v>0</v>
      </c>
      <c r="F74" s="14">
        <f>'1º TRIMESTRE'!F87</f>
        <v>0</v>
      </c>
      <c r="G74" s="14" t="str">
        <f>'1º TRIMESTRE'!G87</f>
        <v>02.536.066/0015-21</v>
      </c>
      <c r="H74" s="14" t="str">
        <f>'1º TRIMESTRE'!H87</f>
        <v>VITAL ENGENHARIA AMBIENTAL S/A</v>
      </c>
      <c r="I74" s="14" t="str">
        <f>'1º TRIMESTRE'!I87</f>
        <v>6-014/22</v>
      </c>
      <c r="J74" s="14">
        <f>'1º TRIMESTRE'!J87</f>
        <v>44649</v>
      </c>
      <c r="K74" s="14">
        <f>'1º TRIMESTRE'!K87</f>
        <v>1825</v>
      </c>
      <c r="L74" s="14">
        <f>'1º TRIMESTRE'!L87</f>
        <v>201897816.06</v>
      </c>
      <c r="M74" s="14">
        <f>'1º TRIMESTRE'!M87</f>
        <v>46474</v>
      </c>
      <c r="N74" s="14">
        <f>'1º TRIMESTRE'!N87</f>
        <v>0</v>
      </c>
      <c r="O74" s="14">
        <f>'1º TRIMESTRE'!O87</f>
        <v>0</v>
      </c>
      <c r="P74" s="14">
        <f>'1º TRIMESTRE'!P87</f>
        <v>0</v>
      </c>
      <c r="Q74" s="14" t="str">
        <f>'1º TRIMESTRE'!Q87</f>
        <v>3.3.90.39</v>
      </c>
      <c r="R74" s="14">
        <f>'1º TRIMESTRE'!R87</f>
        <v>0</v>
      </c>
      <c r="S74" s="14">
        <f>'1º TRIMESTRE'!S87</f>
        <v>0</v>
      </c>
      <c r="T74" s="14">
        <f>'1º TRIMESTRE'!T87</f>
        <v>0</v>
      </c>
      <c r="U74" s="14" t="e">
        <f>'1º TRIMESTRE'!U87</f>
        <v>#REF!</v>
      </c>
      <c r="V74" s="14" t="str">
        <f>'1º TRIMESTRE'!V87</f>
        <v>andamento</v>
      </c>
      <c r="X74" s="39"/>
    </row>
    <row r="75" spans="1:109" ht="42.9">
      <c r="A75" s="14" t="str">
        <f>'1º TRIMESTRE'!A88</f>
        <v>CONCORRÊNCIA / nº 001/2021</v>
      </c>
      <c r="B75" s="14" t="str">
        <f>'1º TRIMESTRE'!B88</f>
        <v>CONTRATAÇÃO DE EMPRESA SANITÁRIA ESPECIALIZADA PARA A EXECUÇÃO DOS SERVIÇOS DE COLETA E LIMPEZA URBANA NO MUNICÍPIO DO RECIFE. LOTE 1-B</v>
      </c>
      <c r="C75" s="14">
        <f>'1º TRIMESTRE'!C88</f>
        <v>0</v>
      </c>
      <c r="D75" s="14">
        <f>'1º TRIMESTRE'!D88</f>
        <v>0</v>
      </c>
      <c r="E75" s="14">
        <f>'1º TRIMESTRE'!E88</f>
        <v>0</v>
      </c>
      <c r="F75" s="14">
        <f>'1º TRIMESTRE'!F88</f>
        <v>0</v>
      </c>
      <c r="G75" s="14" t="str">
        <f>'1º TRIMESTRE'!G88</f>
        <v>12.854.865/0001-02</v>
      </c>
      <c r="H75" s="14" t="str">
        <f>'1º TRIMESTRE'!H88</f>
        <v>COELHO DE ANDRADE ENGENHARIA LTDA</v>
      </c>
      <c r="I75" s="14" t="str">
        <f>'1º TRIMESTRE'!I88</f>
        <v>6-015/22</v>
      </c>
      <c r="J75" s="14">
        <f>'1º TRIMESTRE'!J88</f>
        <v>44649</v>
      </c>
      <c r="K75" s="14">
        <f>'1º TRIMESTRE'!K88</f>
        <v>1825</v>
      </c>
      <c r="L75" s="14">
        <f>'1º TRIMESTRE'!L88</f>
        <v>86512024.75</v>
      </c>
      <c r="M75" s="14">
        <f>'1º TRIMESTRE'!M88</f>
        <v>46474</v>
      </c>
      <c r="N75" s="14">
        <f>'1º TRIMESTRE'!N88</f>
        <v>0</v>
      </c>
      <c r="O75" s="14">
        <f>'1º TRIMESTRE'!O88</f>
        <v>0</v>
      </c>
      <c r="P75" s="14">
        <f>'1º TRIMESTRE'!P88</f>
        <v>0</v>
      </c>
      <c r="Q75" s="14" t="str">
        <f>'1º TRIMESTRE'!Q88</f>
        <v>3.3.90.39</v>
      </c>
      <c r="R75" s="14">
        <f>'1º TRIMESTRE'!R88</f>
        <v>0</v>
      </c>
      <c r="S75" s="14">
        <f>'1º TRIMESTRE'!S88</f>
        <v>0</v>
      </c>
      <c r="T75" s="14">
        <f>'1º TRIMESTRE'!T88</f>
        <v>0</v>
      </c>
      <c r="U75" s="14" t="e">
        <f>'1º TRIMESTRE'!U88</f>
        <v>#REF!</v>
      </c>
      <c r="V75" s="14" t="str">
        <f>'1º TRIMESTRE'!V88</f>
        <v>andamento</v>
      </c>
      <c r="X75" s="39"/>
    </row>
    <row r="76" spans="1:109" ht="42.9">
      <c r="A76" s="14" t="str">
        <f>'1º TRIMESTRE'!A89</f>
        <v>CONCORRÊNCIA / nº 001/2021</v>
      </c>
      <c r="B76" s="14" t="str">
        <f>'1º TRIMESTRE'!B89</f>
        <v>CONTRATAÇÃO DE EMPRESA SANITÁRIA ESPECIALIZADA PARA A EXECUÇÃO DOS SERVIÇOS DE COLETA E LIMPEZA URBANA NO MUNICÍPIO DO RECIFE. LOTE 2- A</v>
      </c>
      <c r="C76" s="14">
        <f>'1º TRIMESTRE'!C89</f>
        <v>0</v>
      </c>
      <c r="D76" s="14">
        <f>'1º TRIMESTRE'!D89</f>
        <v>0</v>
      </c>
      <c r="E76" s="14">
        <f>'1º TRIMESTRE'!E89</f>
        <v>0</v>
      </c>
      <c r="F76" s="14">
        <f>'1º TRIMESTRE'!F89</f>
        <v>0</v>
      </c>
      <c r="G76" s="14" t="str">
        <f>'1º TRIMESTRE'!G89</f>
        <v>02.536.066/0015-21</v>
      </c>
      <c r="H76" s="14" t="str">
        <f>'1º TRIMESTRE'!H89</f>
        <v>VITAL ENGENHARIA AMBIENTAL S/A</v>
      </c>
      <c r="I76" s="14" t="str">
        <f>'1º TRIMESTRE'!I89</f>
        <v>6-016/22</v>
      </c>
      <c r="J76" s="14">
        <f>'1º TRIMESTRE'!J89</f>
        <v>44649</v>
      </c>
      <c r="K76" s="14">
        <f>'1º TRIMESTRE'!K89</f>
        <v>1825</v>
      </c>
      <c r="L76" s="14">
        <f>'1º TRIMESTRE'!L89</f>
        <v>480063123.50999999</v>
      </c>
      <c r="M76" s="14">
        <f>'1º TRIMESTRE'!M89</f>
        <v>46474</v>
      </c>
      <c r="N76" s="14">
        <f>'1º TRIMESTRE'!N89</f>
        <v>0</v>
      </c>
      <c r="O76" s="14">
        <f>'1º TRIMESTRE'!O89</f>
        <v>0</v>
      </c>
      <c r="P76" s="14">
        <f>'1º TRIMESTRE'!P89</f>
        <v>0</v>
      </c>
      <c r="Q76" s="14" t="str">
        <f>'1º TRIMESTRE'!Q89</f>
        <v>3.3.90.39</v>
      </c>
      <c r="R76" s="14">
        <f>'1º TRIMESTRE'!R89</f>
        <v>0</v>
      </c>
      <c r="S76" s="14">
        <f>'1º TRIMESTRE'!S89</f>
        <v>0</v>
      </c>
      <c r="T76" s="14">
        <f>'1º TRIMESTRE'!T89</f>
        <v>0</v>
      </c>
      <c r="U76" s="14" t="e">
        <f>'1º TRIMESTRE'!U89</f>
        <v>#REF!</v>
      </c>
      <c r="V76" s="14" t="str">
        <f>'1º TRIMESTRE'!V89</f>
        <v>andamento</v>
      </c>
      <c r="X76" s="39"/>
    </row>
    <row r="77" spans="1:109" ht="42.9">
      <c r="A77" s="14" t="str">
        <f>'1º TRIMESTRE'!A90</f>
        <v>CONCORRÊNCIA / nº 001/2021</v>
      </c>
      <c r="B77" s="14" t="str">
        <f>'1º TRIMESTRE'!B90</f>
        <v>CONTRATAÇÃO DE EMPRESA SANITÁRIA ESPECIALIZADA PARA A EXECUÇÃO DOS SERVIÇOS DE COLETA E LIMPEZA URBANA NO MUNICÍPIO DO RECIFE. LOTE 2-B</v>
      </c>
      <c r="C77" s="14">
        <f>'1º TRIMESTRE'!C90</f>
        <v>0</v>
      </c>
      <c r="D77" s="14">
        <f>'1º TRIMESTRE'!D90</f>
        <v>0</v>
      </c>
      <c r="E77" s="14">
        <f>'1º TRIMESTRE'!E90</f>
        <v>0</v>
      </c>
      <c r="F77" s="14">
        <f>'1º TRIMESTRE'!F90</f>
        <v>0</v>
      </c>
      <c r="G77" s="14" t="str">
        <f>'1º TRIMESTRE'!G90</f>
        <v>12.854.865/0001-02</v>
      </c>
      <c r="H77" s="14" t="str">
        <f>'1º TRIMESTRE'!H90</f>
        <v>COELHO DE ANDRADE ENGENHARIA LTDA</v>
      </c>
      <c r="I77" s="14" t="str">
        <f>'1º TRIMESTRE'!I90</f>
        <v>6-017/22</v>
      </c>
      <c r="J77" s="14">
        <f>'1º TRIMESTRE'!J90</f>
        <v>44649</v>
      </c>
      <c r="K77" s="14">
        <f>'1º TRIMESTRE'!K90</f>
        <v>1825</v>
      </c>
      <c r="L77" s="14">
        <f>'1º TRIMESTRE'!L90</f>
        <v>205730360.58000001</v>
      </c>
      <c r="M77" s="14">
        <f>'1º TRIMESTRE'!M90</f>
        <v>46474</v>
      </c>
      <c r="N77" s="14">
        <f>'1º TRIMESTRE'!N90</f>
        <v>0</v>
      </c>
      <c r="O77" s="14">
        <f>'1º TRIMESTRE'!O90</f>
        <v>0</v>
      </c>
      <c r="P77" s="14">
        <f>'1º TRIMESTRE'!P90</f>
        <v>0</v>
      </c>
      <c r="Q77" s="14" t="str">
        <f>'1º TRIMESTRE'!Q90</f>
        <v>3.3.90.39</v>
      </c>
      <c r="R77" s="14">
        <f>'1º TRIMESTRE'!R90</f>
        <v>0</v>
      </c>
      <c r="S77" s="14">
        <f>'1º TRIMESTRE'!S90</f>
        <v>0</v>
      </c>
      <c r="T77" s="14">
        <f>'1º TRIMESTRE'!T90</f>
        <v>0</v>
      </c>
      <c r="U77" s="14" t="e">
        <f>'1º TRIMESTRE'!U90</f>
        <v>#REF!</v>
      </c>
      <c r="V77" s="14" t="str">
        <f>'1º TRIMESTRE'!V90</f>
        <v>andamento</v>
      </c>
      <c r="X77" s="39"/>
    </row>
    <row r="78" spans="1:109" ht="64.3">
      <c r="A78" s="14" t="str">
        <f>'1º TRIMESTRE'!A91</f>
        <v>CONCORRÊNCIA / nº 021/2021</v>
      </c>
      <c r="B78" s="14" t="str">
        <f>'1º TRIMESTRE'!B91</f>
        <v>CONTRATAÇÃO DE EMPRESA DE ENGENHARIA, ESPECIALIZADA EM ILUMINAÇÃO PÚBLICA, PARA FORNECIMENTO E INSTALAÇÃO DE LUMINÁRIAS RGB COM TECNOLOGIA LED E REDE ELÉTRICA, PARA ILUMINAÇÃO CÊNICA, DO TEATRO SANTA IZABEL BAIRRO SANTO ANTÔNIO</v>
      </c>
      <c r="C78" s="14" t="str">
        <f>'1º TRIMESTRE'!C91</f>
        <v>532561/2020</v>
      </c>
      <c r="D78" s="14" t="str">
        <f>'1º TRIMESTRE'!D91</f>
        <v>FINISA</v>
      </c>
      <c r="E78" s="14">
        <f>'1º TRIMESTRE'!E91</f>
        <v>50000000</v>
      </c>
      <c r="F78" s="14">
        <f>'1º TRIMESTRE'!F91</f>
        <v>0</v>
      </c>
      <c r="G78" s="14" t="str">
        <f>'1º TRIMESTRE'!G91</f>
        <v>01.346.561/0001-00</v>
      </c>
      <c r="H78" s="14" t="str">
        <f>'1º TRIMESTRE'!H91</f>
        <v>VASCONCELOS E SANTOS LTDA</v>
      </c>
      <c r="I78" s="14" t="str">
        <f>'1º TRIMESTRE'!I91</f>
        <v>6-019/22</v>
      </c>
      <c r="J78" s="14">
        <f>'1º TRIMESTRE'!J91</f>
        <v>44651</v>
      </c>
      <c r="K78" s="14">
        <f>'1º TRIMESTRE'!K91</f>
        <v>150</v>
      </c>
      <c r="L78" s="14">
        <f>'1º TRIMESTRE'!L91</f>
        <v>306496.2</v>
      </c>
      <c r="M78" s="14">
        <f>'1º TRIMESTRE'!M91</f>
        <v>44801</v>
      </c>
      <c r="N78" s="14">
        <f>'1º TRIMESTRE'!N91</f>
        <v>0</v>
      </c>
      <c r="O78" s="14">
        <f>'1º TRIMESTRE'!O91</f>
        <v>0</v>
      </c>
      <c r="P78" s="14">
        <f>'1º TRIMESTRE'!P91</f>
        <v>0</v>
      </c>
      <c r="Q78" s="14" t="str">
        <f>'1º TRIMESTRE'!Q91</f>
        <v>4.4.90.39</v>
      </c>
      <c r="R78" s="14">
        <f>'1º TRIMESTRE'!R91</f>
        <v>0</v>
      </c>
      <c r="S78" s="14">
        <f>'1º TRIMESTRE'!S91</f>
        <v>0</v>
      </c>
      <c r="T78" s="14">
        <f>'1º TRIMESTRE'!T91</f>
        <v>0</v>
      </c>
      <c r="U78" s="14" t="e">
        <f>'1º TRIMESTRE'!U91</f>
        <v>#REF!</v>
      </c>
      <c r="V78" s="14" t="str">
        <f>'1º TRIMESTRE'!V91</f>
        <v>cadastrado</v>
      </c>
      <c r="X78" s="39"/>
    </row>
    <row r="79" spans="1:109">
      <c r="A79" s="14" t="e">
        <f>'1º TRIMESTRE'!#REF!</f>
        <v>#REF!</v>
      </c>
      <c r="B79" s="14" t="e">
        <f>'1º TRIMESTRE'!#REF!</f>
        <v>#REF!</v>
      </c>
      <c r="C79" s="14" t="e">
        <f>'1º TRIMESTRE'!#REF!</f>
        <v>#REF!</v>
      </c>
      <c r="D79" s="14" t="e">
        <f>'1º TRIMESTRE'!#REF!</f>
        <v>#REF!</v>
      </c>
      <c r="E79" s="14" t="e">
        <f>'1º TRIMESTRE'!#REF!</f>
        <v>#REF!</v>
      </c>
      <c r="F79" s="14" t="e">
        <f>'1º TRIMESTRE'!#REF!</f>
        <v>#REF!</v>
      </c>
      <c r="G79" s="14" t="e">
        <f>'1º TRIMESTRE'!#REF!</f>
        <v>#REF!</v>
      </c>
      <c r="H79" s="14" t="e">
        <f>'1º TRIMESTRE'!#REF!</f>
        <v>#REF!</v>
      </c>
      <c r="I79" s="14" t="e">
        <f>'1º TRIMESTRE'!#REF!</f>
        <v>#REF!</v>
      </c>
      <c r="J79" s="14" t="e">
        <f>'1º TRIMESTRE'!#REF!</f>
        <v>#REF!</v>
      </c>
      <c r="K79" s="14" t="e">
        <f>'1º TRIMESTRE'!#REF!</f>
        <v>#REF!</v>
      </c>
      <c r="L79" s="14" t="e">
        <f>'1º TRIMESTRE'!#REF!</f>
        <v>#REF!</v>
      </c>
      <c r="M79" s="14" t="e">
        <f>'1º TRIMESTRE'!#REF!</f>
        <v>#REF!</v>
      </c>
      <c r="N79" s="14" t="e">
        <f>'1º TRIMESTRE'!#REF!</f>
        <v>#REF!</v>
      </c>
      <c r="O79" s="14" t="e">
        <f>'1º TRIMESTRE'!#REF!</f>
        <v>#REF!</v>
      </c>
      <c r="P79" s="14" t="e">
        <f>'1º TRIMESTRE'!#REF!</f>
        <v>#REF!</v>
      </c>
      <c r="Q79" s="14" t="e">
        <f>'1º TRIMESTRE'!#REF!</f>
        <v>#REF!</v>
      </c>
      <c r="R79" s="14" t="e">
        <f>'1º TRIMESTRE'!#REF!</f>
        <v>#REF!</v>
      </c>
      <c r="S79" s="14" t="e">
        <f>'1º TRIMESTRE'!#REF!</f>
        <v>#REF!</v>
      </c>
      <c r="T79" s="14" t="e">
        <f>'1º TRIMESTRE'!#REF!</f>
        <v>#REF!</v>
      </c>
      <c r="U79" s="14" t="e">
        <f>'1º TRIMESTRE'!#REF!</f>
        <v>#REF!</v>
      </c>
      <c r="V79" s="14" t="e">
        <f>'1º TRIMESTRE'!#REF!</f>
        <v>#REF!</v>
      </c>
      <c r="X79" s="39"/>
    </row>
    <row r="80" spans="1:109">
      <c r="A80" s="14" t="e">
        <f>'1º TRIMESTRE'!#REF!</f>
        <v>#REF!</v>
      </c>
      <c r="B80" s="14" t="e">
        <f>'1º TRIMESTRE'!#REF!</f>
        <v>#REF!</v>
      </c>
      <c r="C80" s="14" t="e">
        <f>'1º TRIMESTRE'!#REF!</f>
        <v>#REF!</v>
      </c>
      <c r="D80" s="14" t="e">
        <f>'1º TRIMESTRE'!#REF!</f>
        <v>#REF!</v>
      </c>
      <c r="E80" s="14" t="e">
        <f>'1º TRIMESTRE'!#REF!</f>
        <v>#REF!</v>
      </c>
      <c r="F80" s="14" t="e">
        <f>'1º TRIMESTRE'!#REF!</f>
        <v>#REF!</v>
      </c>
      <c r="G80" s="14" t="e">
        <f>'1º TRIMESTRE'!#REF!</f>
        <v>#REF!</v>
      </c>
      <c r="H80" s="14" t="e">
        <f>'1º TRIMESTRE'!#REF!</f>
        <v>#REF!</v>
      </c>
      <c r="I80" s="14" t="e">
        <f>'1º TRIMESTRE'!#REF!</f>
        <v>#REF!</v>
      </c>
      <c r="J80" s="14" t="e">
        <f>'1º TRIMESTRE'!#REF!</f>
        <v>#REF!</v>
      </c>
      <c r="K80" s="14" t="e">
        <f>'1º TRIMESTRE'!#REF!</f>
        <v>#REF!</v>
      </c>
      <c r="L80" s="14" t="e">
        <f>'1º TRIMESTRE'!#REF!</f>
        <v>#REF!</v>
      </c>
      <c r="M80" s="14" t="e">
        <f>'1º TRIMESTRE'!#REF!</f>
        <v>#REF!</v>
      </c>
      <c r="N80" s="14" t="e">
        <f>'1º TRIMESTRE'!#REF!</f>
        <v>#REF!</v>
      </c>
      <c r="O80" s="14" t="e">
        <f>'1º TRIMESTRE'!#REF!</f>
        <v>#REF!</v>
      </c>
      <c r="P80" s="14" t="e">
        <f>'1º TRIMESTRE'!#REF!</f>
        <v>#REF!</v>
      </c>
      <c r="Q80" s="14" t="e">
        <f>'1º TRIMESTRE'!#REF!</f>
        <v>#REF!</v>
      </c>
      <c r="R80" s="14" t="e">
        <f>'1º TRIMESTRE'!#REF!</f>
        <v>#REF!</v>
      </c>
      <c r="S80" s="14" t="e">
        <f>'1º TRIMESTRE'!#REF!</f>
        <v>#REF!</v>
      </c>
      <c r="T80" s="14" t="e">
        <f>'1º TRIMESTRE'!#REF!</f>
        <v>#REF!</v>
      </c>
      <c r="U80" s="14" t="e">
        <f>'1º TRIMESTRE'!#REF!</f>
        <v>#REF!</v>
      </c>
      <c r="V80" s="14" t="e">
        <f>'1º TRIMESTRE'!#REF!</f>
        <v>#REF!</v>
      </c>
      <c r="X80" s="39"/>
    </row>
    <row r="81" spans="1:24">
      <c r="A81" s="14" t="e">
        <f>'1º TRIMESTRE'!#REF!</f>
        <v>#REF!</v>
      </c>
      <c r="B81" s="14" t="e">
        <f>'1º TRIMESTRE'!#REF!</f>
        <v>#REF!</v>
      </c>
      <c r="C81" s="14" t="e">
        <f>'1º TRIMESTRE'!#REF!</f>
        <v>#REF!</v>
      </c>
      <c r="D81" s="14" t="e">
        <f>'1º TRIMESTRE'!#REF!</f>
        <v>#REF!</v>
      </c>
      <c r="E81" s="14" t="e">
        <f>'1º TRIMESTRE'!#REF!</f>
        <v>#REF!</v>
      </c>
      <c r="F81" s="14" t="e">
        <f>'1º TRIMESTRE'!#REF!</f>
        <v>#REF!</v>
      </c>
      <c r="G81" s="14" t="e">
        <f>'1º TRIMESTRE'!#REF!</f>
        <v>#REF!</v>
      </c>
      <c r="H81" s="14" t="e">
        <f>'1º TRIMESTRE'!#REF!</f>
        <v>#REF!</v>
      </c>
      <c r="I81" s="14" t="e">
        <f>'1º TRIMESTRE'!#REF!</f>
        <v>#REF!</v>
      </c>
      <c r="J81" s="14" t="e">
        <f>'1º TRIMESTRE'!#REF!</f>
        <v>#REF!</v>
      </c>
      <c r="K81" s="14" t="e">
        <f>'1º TRIMESTRE'!#REF!</f>
        <v>#REF!</v>
      </c>
      <c r="L81" s="14" t="e">
        <f>'1º TRIMESTRE'!#REF!</f>
        <v>#REF!</v>
      </c>
      <c r="M81" s="14" t="e">
        <f>'1º TRIMESTRE'!#REF!</f>
        <v>#REF!</v>
      </c>
      <c r="N81" s="14" t="e">
        <f>'1º TRIMESTRE'!#REF!</f>
        <v>#REF!</v>
      </c>
      <c r="O81" s="14" t="e">
        <f>'1º TRIMESTRE'!#REF!</f>
        <v>#REF!</v>
      </c>
      <c r="P81" s="14" t="e">
        <f>'1º TRIMESTRE'!#REF!</f>
        <v>#REF!</v>
      </c>
      <c r="Q81" s="14" t="e">
        <f>'1º TRIMESTRE'!#REF!</f>
        <v>#REF!</v>
      </c>
      <c r="R81" s="14" t="e">
        <f>'1º TRIMESTRE'!#REF!</f>
        <v>#REF!</v>
      </c>
      <c r="S81" s="14" t="e">
        <f>'1º TRIMESTRE'!#REF!</f>
        <v>#REF!</v>
      </c>
      <c r="T81" s="14" t="e">
        <f>'1º TRIMESTRE'!#REF!</f>
        <v>#REF!</v>
      </c>
      <c r="U81" s="14" t="e">
        <f>'1º TRIMESTRE'!#REF!</f>
        <v>#REF!</v>
      </c>
      <c r="V81" s="14" t="e">
        <f>'1º TRIMESTRE'!#REF!</f>
        <v>#REF!</v>
      </c>
      <c r="X81" s="39"/>
    </row>
    <row r="82" spans="1:24">
      <c r="A82" s="14" t="e">
        <f>'1º TRIMESTRE'!#REF!</f>
        <v>#REF!</v>
      </c>
      <c r="B82" s="14" t="e">
        <f>'1º TRIMESTRE'!#REF!</f>
        <v>#REF!</v>
      </c>
      <c r="C82" s="14" t="e">
        <f>'1º TRIMESTRE'!#REF!</f>
        <v>#REF!</v>
      </c>
      <c r="D82" s="14" t="e">
        <f>'1º TRIMESTRE'!#REF!</f>
        <v>#REF!</v>
      </c>
      <c r="E82" s="14" t="e">
        <f>'1º TRIMESTRE'!#REF!</f>
        <v>#REF!</v>
      </c>
      <c r="F82" s="14" t="e">
        <f>'1º TRIMESTRE'!#REF!</f>
        <v>#REF!</v>
      </c>
      <c r="G82" s="14" t="e">
        <f>'1º TRIMESTRE'!#REF!</f>
        <v>#REF!</v>
      </c>
      <c r="H82" s="14" t="e">
        <f>'1º TRIMESTRE'!#REF!</f>
        <v>#REF!</v>
      </c>
      <c r="I82" s="14" t="e">
        <f>'1º TRIMESTRE'!#REF!</f>
        <v>#REF!</v>
      </c>
      <c r="J82" s="14" t="e">
        <f>'1º TRIMESTRE'!#REF!</f>
        <v>#REF!</v>
      </c>
      <c r="K82" s="14" t="e">
        <f>'1º TRIMESTRE'!#REF!</f>
        <v>#REF!</v>
      </c>
      <c r="L82" s="14" t="e">
        <f>'1º TRIMESTRE'!#REF!</f>
        <v>#REF!</v>
      </c>
      <c r="M82" s="14" t="e">
        <f>'1º TRIMESTRE'!#REF!</f>
        <v>#REF!</v>
      </c>
      <c r="N82" s="14" t="e">
        <f>'1º TRIMESTRE'!#REF!</f>
        <v>#REF!</v>
      </c>
      <c r="O82" s="14" t="e">
        <f>'1º TRIMESTRE'!#REF!</f>
        <v>#REF!</v>
      </c>
      <c r="P82" s="14" t="e">
        <f>'1º TRIMESTRE'!#REF!</f>
        <v>#REF!</v>
      </c>
      <c r="Q82" s="14" t="e">
        <f>'1º TRIMESTRE'!#REF!</f>
        <v>#REF!</v>
      </c>
      <c r="R82" s="14" t="e">
        <f>'1º TRIMESTRE'!#REF!</f>
        <v>#REF!</v>
      </c>
      <c r="S82" s="14" t="e">
        <f>'1º TRIMESTRE'!#REF!</f>
        <v>#REF!</v>
      </c>
      <c r="T82" s="14" t="e">
        <f>'1º TRIMESTRE'!#REF!</f>
        <v>#REF!</v>
      </c>
      <c r="U82" s="14" t="e">
        <f>'1º TRIMESTRE'!#REF!</f>
        <v>#REF!</v>
      </c>
      <c r="V82" s="14" t="e">
        <f>'1º TRIMESTRE'!#REF!</f>
        <v>#REF!</v>
      </c>
      <c r="X82" s="39"/>
    </row>
    <row r="83" spans="1:24">
      <c r="A83" s="14" t="e">
        <f>'1º TRIMESTRE'!#REF!</f>
        <v>#REF!</v>
      </c>
      <c r="B83" s="14" t="e">
        <f>'1º TRIMESTRE'!#REF!</f>
        <v>#REF!</v>
      </c>
      <c r="C83" s="14" t="e">
        <f>'1º TRIMESTRE'!#REF!</f>
        <v>#REF!</v>
      </c>
      <c r="D83" s="14" t="e">
        <f>'1º TRIMESTRE'!#REF!</f>
        <v>#REF!</v>
      </c>
      <c r="E83" s="14" t="e">
        <f>'1º TRIMESTRE'!#REF!</f>
        <v>#REF!</v>
      </c>
      <c r="F83" s="14" t="e">
        <f>'1º TRIMESTRE'!#REF!</f>
        <v>#REF!</v>
      </c>
      <c r="G83" s="14" t="e">
        <f>'1º TRIMESTRE'!#REF!</f>
        <v>#REF!</v>
      </c>
      <c r="H83" s="14" t="e">
        <f>'1º TRIMESTRE'!#REF!</f>
        <v>#REF!</v>
      </c>
      <c r="I83" s="14" t="e">
        <f>'1º TRIMESTRE'!#REF!</f>
        <v>#REF!</v>
      </c>
      <c r="J83" s="14" t="e">
        <f>'1º TRIMESTRE'!#REF!</f>
        <v>#REF!</v>
      </c>
      <c r="K83" s="14" t="e">
        <f>'1º TRIMESTRE'!#REF!</f>
        <v>#REF!</v>
      </c>
      <c r="L83" s="14" t="e">
        <f>'1º TRIMESTRE'!#REF!</f>
        <v>#REF!</v>
      </c>
      <c r="M83" s="14" t="e">
        <f>'1º TRIMESTRE'!#REF!</f>
        <v>#REF!</v>
      </c>
      <c r="N83" s="14" t="e">
        <f>'1º TRIMESTRE'!#REF!</f>
        <v>#REF!</v>
      </c>
      <c r="O83" s="14" t="e">
        <f>'1º TRIMESTRE'!#REF!</f>
        <v>#REF!</v>
      </c>
      <c r="P83" s="14" t="e">
        <f>'1º TRIMESTRE'!#REF!</f>
        <v>#REF!</v>
      </c>
      <c r="Q83" s="14" t="e">
        <f>'1º TRIMESTRE'!#REF!</f>
        <v>#REF!</v>
      </c>
      <c r="R83" s="14" t="e">
        <f>'1º TRIMESTRE'!#REF!</f>
        <v>#REF!</v>
      </c>
      <c r="S83" s="14" t="e">
        <f>'1º TRIMESTRE'!#REF!</f>
        <v>#REF!</v>
      </c>
      <c r="T83" s="14" t="e">
        <f>'1º TRIMESTRE'!#REF!</f>
        <v>#REF!</v>
      </c>
      <c r="U83" s="14" t="e">
        <f>'1º TRIMESTRE'!#REF!</f>
        <v>#REF!</v>
      </c>
      <c r="V83" s="14" t="e">
        <f>'1º TRIMESTRE'!#REF!</f>
        <v>#REF!</v>
      </c>
      <c r="X83" s="39"/>
    </row>
    <row r="84" spans="1:24">
      <c r="A84" s="14" t="e">
        <f>'1º TRIMESTRE'!#REF!</f>
        <v>#REF!</v>
      </c>
      <c r="B84" s="14" t="e">
        <f>'1º TRIMESTRE'!#REF!</f>
        <v>#REF!</v>
      </c>
      <c r="C84" s="14" t="e">
        <f>'1º TRIMESTRE'!#REF!</f>
        <v>#REF!</v>
      </c>
      <c r="D84" s="14" t="e">
        <f>'1º TRIMESTRE'!#REF!</f>
        <v>#REF!</v>
      </c>
      <c r="E84" s="14" t="e">
        <f>'1º TRIMESTRE'!#REF!</f>
        <v>#REF!</v>
      </c>
      <c r="F84" s="14" t="e">
        <f>'1º TRIMESTRE'!#REF!</f>
        <v>#REF!</v>
      </c>
      <c r="G84" s="14" t="e">
        <f>'1º TRIMESTRE'!#REF!</f>
        <v>#REF!</v>
      </c>
      <c r="H84" s="14" t="e">
        <f>'1º TRIMESTRE'!#REF!</f>
        <v>#REF!</v>
      </c>
      <c r="I84" s="14" t="e">
        <f>'1º TRIMESTRE'!#REF!</f>
        <v>#REF!</v>
      </c>
      <c r="J84" s="14" t="e">
        <f>'1º TRIMESTRE'!#REF!</f>
        <v>#REF!</v>
      </c>
      <c r="K84" s="14" t="e">
        <f>'1º TRIMESTRE'!#REF!</f>
        <v>#REF!</v>
      </c>
      <c r="L84" s="14" t="e">
        <f>'1º TRIMESTRE'!#REF!</f>
        <v>#REF!</v>
      </c>
      <c r="M84" s="14" t="e">
        <f>'1º TRIMESTRE'!#REF!</f>
        <v>#REF!</v>
      </c>
      <c r="N84" s="14" t="e">
        <f>'1º TRIMESTRE'!#REF!</f>
        <v>#REF!</v>
      </c>
      <c r="O84" s="14" t="e">
        <f>'1º TRIMESTRE'!#REF!</f>
        <v>#REF!</v>
      </c>
      <c r="P84" s="14" t="e">
        <f>'1º TRIMESTRE'!#REF!</f>
        <v>#REF!</v>
      </c>
      <c r="Q84" s="14" t="e">
        <f>'1º TRIMESTRE'!#REF!</f>
        <v>#REF!</v>
      </c>
      <c r="R84" s="14" t="e">
        <f>'1º TRIMESTRE'!#REF!</f>
        <v>#REF!</v>
      </c>
      <c r="S84" s="14" t="e">
        <f>'1º TRIMESTRE'!#REF!</f>
        <v>#REF!</v>
      </c>
      <c r="T84" s="14" t="e">
        <f>'1º TRIMESTRE'!#REF!</f>
        <v>#REF!</v>
      </c>
      <c r="U84" s="14" t="e">
        <f>'1º TRIMESTRE'!#REF!</f>
        <v>#REF!</v>
      </c>
      <c r="V84" s="14" t="e">
        <f>'1º TRIMESTRE'!#REF!</f>
        <v>#REF!</v>
      </c>
      <c r="X84" s="39"/>
    </row>
    <row r="85" spans="1:24">
      <c r="A85" s="14" t="e">
        <f>'1º TRIMESTRE'!#REF!</f>
        <v>#REF!</v>
      </c>
      <c r="B85" s="14" t="e">
        <f>'1º TRIMESTRE'!#REF!</f>
        <v>#REF!</v>
      </c>
      <c r="C85" s="14" t="e">
        <f>'1º TRIMESTRE'!#REF!</f>
        <v>#REF!</v>
      </c>
      <c r="D85" s="14" t="e">
        <f>'1º TRIMESTRE'!#REF!</f>
        <v>#REF!</v>
      </c>
      <c r="E85" s="14" t="e">
        <f>'1º TRIMESTRE'!#REF!</f>
        <v>#REF!</v>
      </c>
      <c r="F85" s="14" t="e">
        <f>'1º TRIMESTRE'!#REF!</f>
        <v>#REF!</v>
      </c>
      <c r="G85" s="14" t="e">
        <f>'1º TRIMESTRE'!#REF!</f>
        <v>#REF!</v>
      </c>
      <c r="H85" s="14" t="e">
        <f>'1º TRIMESTRE'!#REF!</f>
        <v>#REF!</v>
      </c>
      <c r="I85" s="14" t="e">
        <f>'1º TRIMESTRE'!#REF!</f>
        <v>#REF!</v>
      </c>
      <c r="J85" s="14" t="e">
        <f>'1º TRIMESTRE'!#REF!</f>
        <v>#REF!</v>
      </c>
      <c r="K85" s="14" t="e">
        <f>'1º TRIMESTRE'!#REF!</f>
        <v>#REF!</v>
      </c>
      <c r="L85" s="14" t="e">
        <f>'1º TRIMESTRE'!#REF!</f>
        <v>#REF!</v>
      </c>
      <c r="M85" s="14" t="e">
        <f>'1º TRIMESTRE'!#REF!</f>
        <v>#REF!</v>
      </c>
      <c r="N85" s="14" t="e">
        <f>'1º TRIMESTRE'!#REF!</f>
        <v>#REF!</v>
      </c>
      <c r="O85" s="14" t="e">
        <f>'1º TRIMESTRE'!#REF!</f>
        <v>#REF!</v>
      </c>
      <c r="P85" s="14" t="e">
        <f>'1º TRIMESTRE'!#REF!</f>
        <v>#REF!</v>
      </c>
      <c r="Q85" s="14" t="e">
        <f>'1º TRIMESTRE'!#REF!</f>
        <v>#REF!</v>
      </c>
      <c r="R85" s="14" t="e">
        <f>'1º TRIMESTRE'!#REF!</f>
        <v>#REF!</v>
      </c>
      <c r="S85" s="14" t="e">
        <f>'1º TRIMESTRE'!#REF!</f>
        <v>#REF!</v>
      </c>
      <c r="T85" s="14" t="e">
        <f>'1º TRIMESTRE'!#REF!</f>
        <v>#REF!</v>
      </c>
      <c r="U85" s="14" t="e">
        <f>'1º TRIMESTRE'!#REF!</f>
        <v>#REF!</v>
      </c>
      <c r="V85" s="14" t="e">
        <f>'1º TRIMESTRE'!#REF!</f>
        <v>#REF!</v>
      </c>
      <c r="X85" s="39"/>
    </row>
    <row r="86" spans="1:24">
      <c r="A86" s="14" t="e">
        <f>'1º TRIMESTRE'!#REF!</f>
        <v>#REF!</v>
      </c>
      <c r="B86" s="14" t="e">
        <f>'1º TRIMESTRE'!#REF!</f>
        <v>#REF!</v>
      </c>
      <c r="C86" s="14" t="e">
        <f>'1º TRIMESTRE'!#REF!</f>
        <v>#REF!</v>
      </c>
      <c r="D86" s="14" t="e">
        <f>'1º TRIMESTRE'!#REF!</f>
        <v>#REF!</v>
      </c>
      <c r="E86" s="14" t="e">
        <f>'1º TRIMESTRE'!#REF!</f>
        <v>#REF!</v>
      </c>
      <c r="F86" s="14" t="e">
        <f>'1º TRIMESTRE'!#REF!</f>
        <v>#REF!</v>
      </c>
      <c r="G86" s="14" t="e">
        <f>'1º TRIMESTRE'!#REF!</f>
        <v>#REF!</v>
      </c>
      <c r="H86" s="14" t="e">
        <f>'1º TRIMESTRE'!#REF!</f>
        <v>#REF!</v>
      </c>
      <c r="I86" s="14" t="e">
        <f>'1º TRIMESTRE'!#REF!</f>
        <v>#REF!</v>
      </c>
      <c r="J86" s="14" t="e">
        <f>'1º TRIMESTRE'!#REF!</f>
        <v>#REF!</v>
      </c>
      <c r="K86" s="14" t="e">
        <f>'1º TRIMESTRE'!#REF!</f>
        <v>#REF!</v>
      </c>
      <c r="L86" s="14" t="e">
        <f>'1º TRIMESTRE'!#REF!</f>
        <v>#REF!</v>
      </c>
      <c r="M86" s="14" t="e">
        <f>'1º TRIMESTRE'!#REF!</f>
        <v>#REF!</v>
      </c>
      <c r="N86" s="14" t="e">
        <f>'1º TRIMESTRE'!#REF!</f>
        <v>#REF!</v>
      </c>
      <c r="O86" s="14" t="e">
        <f>'1º TRIMESTRE'!#REF!</f>
        <v>#REF!</v>
      </c>
      <c r="P86" s="14" t="e">
        <f>'1º TRIMESTRE'!#REF!</f>
        <v>#REF!</v>
      </c>
      <c r="Q86" s="14" t="e">
        <f>'1º TRIMESTRE'!#REF!</f>
        <v>#REF!</v>
      </c>
      <c r="R86" s="14" t="e">
        <f>'1º TRIMESTRE'!#REF!</f>
        <v>#REF!</v>
      </c>
      <c r="S86" s="14" t="e">
        <f>'1º TRIMESTRE'!#REF!</f>
        <v>#REF!</v>
      </c>
      <c r="T86" s="14" t="e">
        <f>'1º TRIMESTRE'!#REF!</f>
        <v>#REF!</v>
      </c>
      <c r="U86" s="14" t="e">
        <f>'1º TRIMESTRE'!#REF!</f>
        <v>#REF!</v>
      </c>
      <c r="V86" s="14" t="e">
        <f>'1º TRIMESTRE'!#REF!</f>
        <v>#REF!</v>
      </c>
      <c r="X86" s="39"/>
    </row>
    <row r="87" spans="1:24">
      <c r="A87" s="14" t="e">
        <f>'1º TRIMESTRE'!#REF!</f>
        <v>#REF!</v>
      </c>
      <c r="B87" s="14" t="e">
        <f>'1º TRIMESTRE'!#REF!</f>
        <v>#REF!</v>
      </c>
      <c r="C87" s="14" t="e">
        <f>'1º TRIMESTRE'!#REF!</f>
        <v>#REF!</v>
      </c>
      <c r="D87" s="14" t="e">
        <f>'1º TRIMESTRE'!#REF!</f>
        <v>#REF!</v>
      </c>
      <c r="E87" s="14" t="e">
        <f>'1º TRIMESTRE'!#REF!</f>
        <v>#REF!</v>
      </c>
      <c r="F87" s="14" t="e">
        <f>'1º TRIMESTRE'!#REF!</f>
        <v>#REF!</v>
      </c>
      <c r="G87" s="14" t="e">
        <f>'1º TRIMESTRE'!#REF!</f>
        <v>#REF!</v>
      </c>
      <c r="H87" s="14" t="e">
        <f>'1º TRIMESTRE'!#REF!</f>
        <v>#REF!</v>
      </c>
      <c r="I87" s="14" t="e">
        <f>'1º TRIMESTRE'!#REF!</f>
        <v>#REF!</v>
      </c>
      <c r="J87" s="14" t="e">
        <f>'1º TRIMESTRE'!#REF!</f>
        <v>#REF!</v>
      </c>
      <c r="K87" s="14" t="e">
        <f>'1º TRIMESTRE'!#REF!</f>
        <v>#REF!</v>
      </c>
      <c r="L87" s="14" t="e">
        <f>'1º TRIMESTRE'!#REF!</f>
        <v>#REF!</v>
      </c>
      <c r="M87" s="14" t="e">
        <f>'1º TRIMESTRE'!#REF!</f>
        <v>#REF!</v>
      </c>
      <c r="N87" s="14" t="e">
        <f>'1º TRIMESTRE'!#REF!</f>
        <v>#REF!</v>
      </c>
      <c r="O87" s="14" t="e">
        <f>'1º TRIMESTRE'!#REF!</f>
        <v>#REF!</v>
      </c>
      <c r="P87" s="14" t="e">
        <f>'1º TRIMESTRE'!#REF!</f>
        <v>#REF!</v>
      </c>
      <c r="Q87" s="14" t="e">
        <f>'1º TRIMESTRE'!#REF!</f>
        <v>#REF!</v>
      </c>
      <c r="R87" s="14" t="e">
        <f>'1º TRIMESTRE'!#REF!</f>
        <v>#REF!</v>
      </c>
      <c r="S87" s="14" t="e">
        <f>'1º TRIMESTRE'!#REF!</f>
        <v>#REF!</v>
      </c>
      <c r="T87" s="14" t="e">
        <f>'1º TRIMESTRE'!#REF!</f>
        <v>#REF!</v>
      </c>
      <c r="U87" s="14" t="e">
        <f>'1º TRIMESTRE'!#REF!</f>
        <v>#REF!</v>
      </c>
      <c r="V87" s="14" t="e">
        <f>'1º TRIMESTRE'!#REF!</f>
        <v>#REF!</v>
      </c>
      <c r="X87" s="39"/>
    </row>
    <row r="88" spans="1:24">
      <c r="A88" s="14" t="e">
        <f>'1º TRIMESTRE'!#REF!</f>
        <v>#REF!</v>
      </c>
      <c r="B88" s="14" t="e">
        <f>'1º TRIMESTRE'!#REF!</f>
        <v>#REF!</v>
      </c>
      <c r="C88" s="14" t="e">
        <f>'1º TRIMESTRE'!#REF!</f>
        <v>#REF!</v>
      </c>
      <c r="D88" s="14" t="e">
        <f>'1º TRIMESTRE'!#REF!</f>
        <v>#REF!</v>
      </c>
      <c r="E88" s="14" t="e">
        <f>'1º TRIMESTRE'!#REF!</f>
        <v>#REF!</v>
      </c>
      <c r="F88" s="14" t="e">
        <f>'1º TRIMESTRE'!#REF!</f>
        <v>#REF!</v>
      </c>
      <c r="G88" s="14" t="e">
        <f>'1º TRIMESTRE'!#REF!</f>
        <v>#REF!</v>
      </c>
      <c r="H88" s="14" t="e">
        <f>'1º TRIMESTRE'!#REF!</f>
        <v>#REF!</v>
      </c>
      <c r="I88" s="14" t="e">
        <f>'1º TRIMESTRE'!#REF!</f>
        <v>#REF!</v>
      </c>
      <c r="J88" s="14" t="e">
        <f>'1º TRIMESTRE'!#REF!</f>
        <v>#REF!</v>
      </c>
      <c r="K88" s="14" t="e">
        <f>'1º TRIMESTRE'!#REF!</f>
        <v>#REF!</v>
      </c>
      <c r="L88" s="14" t="e">
        <f>'1º TRIMESTRE'!#REF!</f>
        <v>#REF!</v>
      </c>
      <c r="M88" s="14" t="e">
        <f>'1º TRIMESTRE'!#REF!</f>
        <v>#REF!</v>
      </c>
      <c r="N88" s="14" t="e">
        <f>'1º TRIMESTRE'!#REF!</f>
        <v>#REF!</v>
      </c>
      <c r="O88" s="14" t="e">
        <f>'1º TRIMESTRE'!#REF!</f>
        <v>#REF!</v>
      </c>
      <c r="P88" s="14" t="e">
        <f>'1º TRIMESTRE'!#REF!</f>
        <v>#REF!</v>
      </c>
      <c r="Q88" s="14" t="e">
        <f>'1º TRIMESTRE'!#REF!</f>
        <v>#REF!</v>
      </c>
      <c r="R88" s="14" t="e">
        <f>'1º TRIMESTRE'!#REF!</f>
        <v>#REF!</v>
      </c>
      <c r="S88" s="14" t="e">
        <f>'1º TRIMESTRE'!#REF!</f>
        <v>#REF!</v>
      </c>
      <c r="T88" s="14" t="e">
        <f>'1º TRIMESTRE'!#REF!</f>
        <v>#REF!</v>
      </c>
      <c r="U88" s="14" t="e">
        <f>'1º TRIMESTRE'!#REF!</f>
        <v>#REF!</v>
      </c>
      <c r="V88" s="14" t="e">
        <f>'1º TRIMESTRE'!#REF!</f>
        <v>#REF!</v>
      </c>
      <c r="X88" s="39"/>
    </row>
    <row r="89" spans="1:24">
      <c r="A89" s="14" t="e">
        <f>'1º TRIMESTRE'!#REF!</f>
        <v>#REF!</v>
      </c>
      <c r="B89" s="14" t="e">
        <f>'1º TRIMESTRE'!#REF!</f>
        <v>#REF!</v>
      </c>
      <c r="C89" s="14" t="e">
        <f>'1º TRIMESTRE'!#REF!</f>
        <v>#REF!</v>
      </c>
      <c r="D89" s="14" t="e">
        <f>'1º TRIMESTRE'!#REF!</f>
        <v>#REF!</v>
      </c>
      <c r="E89" s="14" t="e">
        <f>'1º TRIMESTRE'!#REF!</f>
        <v>#REF!</v>
      </c>
      <c r="F89" s="14" t="e">
        <f>'1º TRIMESTRE'!#REF!</f>
        <v>#REF!</v>
      </c>
      <c r="G89" s="14" t="e">
        <f>'1º TRIMESTRE'!#REF!</f>
        <v>#REF!</v>
      </c>
      <c r="H89" s="14" t="e">
        <f>'1º TRIMESTRE'!#REF!</f>
        <v>#REF!</v>
      </c>
      <c r="I89" s="14" t="e">
        <f>'1º TRIMESTRE'!#REF!</f>
        <v>#REF!</v>
      </c>
      <c r="J89" s="14" t="e">
        <f>'1º TRIMESTRE'!#REF!</f>
        <v>#REF!</v>
      </c>
      <c r="K89" s="14" t="e">
        <f>'1º TRIMESTRE'!#REF!</f>
        <v>#REF!</v>
      </c>
      <c r="L89" s="14" t="e">
        <f>'1º TRIMESTRE'!#REF!</f>
        <v>#REF!</v>
      </c>
      <c r="M89" s="14" t="e">
        <f>'1º TRIMESTRE'!#REF!</f>
        <v>#REF!</v>
      </c>
      <c r="N89" s="14" t="e">
        <f>'1º TRIMESTRE'!#REF!</f>
        <v>#REF!</v>
      </c>
      <c r="O89" s="14" t="e">
        <f>'1º TRIMESTRE'!#REF!</f>
        <v>#REF!</v>
      </c>
      <c r="P89" s="14" t="e">
        <f>'1º TRIMESTRE'!#REF!</f>
        <v>#REF!</v>
      </c>
      <c r="Q89" s="14" t="e">
        <f>'1º TRIMESTRE'!#REF!</f>
        <v>#REF!</v>
      </c>
      <c r="R89" s="14" t="e">
        <f>'1º TRIMESTRE'!#REF!</f>
        <v>#REF!</v>
      </c>
      <c r="S89" s="14" t="e">
        <f>'1º TRIMESTRE'!#REF!</f>
        <v>#REF!</v>
      </c>
      <c r="T89" s="14" t="e">
        <f>'1º TRIMESTRE'!#REF!</f>
        <v>#REF!</v>
      </c>
      <c r="U89" s="14" t="e">
        <f>'1º TRIMESTRE'!#REF!</f>
        <v>#REF!</v>
      </c>
      <c r="V89" s="14" t="e">
        <f>'1º TRIMESTRE'!#REF!</f>
        <v>#REF!</v>
      </c>
      <c r="X89" s="39"/>
    </row>
    <row r="90" spans="1:24">
      <c r="A90" s="14" t="e">
        <f>'1º TRIMESTRE'!#REF!</f>
        <v>#REF!</v>
      </c>
      <c r="B90" s="14" t="e">
        <f>'1º TRIMESTRE'!#REF!</f>
        <v>#REF!</v>
      </c>
      <c r="C90" s="14" t="e">
        <f>'1º TRIMESTRE'!#REF!</f>
        <v>#REF!</v>
      </c>
      <c r="D90" s="14" t="e">
        <f>'1º TRIMESTRE'!#REF!</f>
        <v>#REF!</v>
      </c>
      <c r="E90" s="14" t="e">
        <f>'1º TRIMESTRE'!#REF!</f>
        <v>#REF!</v>
      </c>
      <c r="F90" s="14" t="e">
        <f>'1º TRIMESTRE'!#REF!</f>
        <v>#REF!</v>
      </c>
      <c r="G90" s="14" t="e">
        <f>'1º TRIMESTRE'!#REF!</f>
        <v>#REF!</v>
      </c>
      <c r="H90" s="14" t="e">
        <f>'1º TRIMESTRE'!#REF!</f>
        <v>#REF!</v>
      </c>
      <c r="I90" s="14" t="e">
        <f>'1º TRIMESTRE'!#REF!</f>
        <v>#REF!</v>
      </c>
      <c r="J90" s="14" t="e">
        <f>'1º TRIMESTRE'!#REF!</f>
        <v>#REF!</v>
      </c>
      <c r="K90" s="14" t="e">
        <f>'1º TRIMESTRE'!#REF!</f>
        <v>#REF!</v>
      </c>
      <c r="L90" s="14" t="e">
        <f>'1º TRIMESTRE'!#REF!</f>
        <v>#REF!</v>
      </c>
      <c r="M90" s="14" t="e">
        <f>'1º TRIMESTRE'!#REF!</f>
        <v>#REF!</v>
      </c>
      <c r="N90" s="14" t="e">
        <f>'1º TRIMESTRE'!#REF!</f>
        <v>#REF!</v>
      </c>
      <c r="O90" s="14" t="e">
        <f>'1º TRIMESTRE'!#REF!</f>
        <v>#REF!</v>
      </c>
      <c r="P90" s="14" t="e">
        <f>'1º TRIMESTRE'!#REF!</f>
        <v>#REF!</v>
      </c>
      <c r="Q90" s="14" t="e">
        <f>'1º TRIMESTRE'!#REF!</f>
        <v>#REF!</v>
      </c>
      <c r="R90" s="14" t="e">
        <f>'1º TRIMESTRE'!#REF!</f>
        <v>#REF!</v>
      </c>
      <c r="S90" s="14" t="e">
        <f>'1º TRIMESTRE'!#REF!</f>
        <v>#REF!</v>
      </c>
      <c r="T90" s="14" t="e">
        <f>'1º TRIMESTRE'!#REF!</f>
        <v>#REF!</v>
      </c>
      <c r="U90" s="14" t="e">
        <f>'1º TRIMESTRE'!#REF!</f>
        <v>#REF!</v>
      </c>
      <c r="V90" s="14" t="e">
        <f>'1º TRIMESTRE'!#REF!</f>
        <v>#REF!</v>
      </c>
      <c r="X90" s="39"/>
    </row>
    <row r="91" spans="1:24">
      <c r="A91" s="14" t="e">
        <f>'1º TRIMESTRE'!#REF!</f>
        <v>#REF!</v>
      </c>
      <c r="B91" s="14" t="e">
        <f>'1º TRIMESTRE'!#REF!</f>
        <v>#REF!</v>
      </c>
      <c r="C91" s="14" t="e">
        <f>'1º TRIMESTRE'!#REF!</f>
        <v>#REF!</v>
      </c>
      <c r="D91" s="14" t="e">
        <f>'1º TRIMESTRE'!#REF!</f>
        <v>#REF!</v>
      </c>
      <c r="E91" s="14" t="e">
        <f>'1º TRIMESTRE'!#REF!</f>
        <v>#REF!</v>
      </c>
      <c r="F91" s="14" t="e">
        <f>'1º TRIMESTRE'!#REF!</f>
        <v>#REF!</v>
      </c>
      <c r="G91" s="14" t="e">
        <f>'1º TRIMESTRE'!#REF!</f>
        <v>#REF!</v>
      </c>
      <c r="H91" s="14" t="e">
        <f>'1º TRIMESTRE'!#REF!</f>
        <v>#REF!</v>
      </c>
      <c r="I91" s="14" t="e">
        <f>'1º TRIMESTRE'!#REF!</f>
        <v>#REF!</v>
      </c>
      <c r="J91" s="14" t="e">
        <f>'1º TRIMESTRE'!#REF!</f>
        <v>#REF!</v>
      </c>
      <c r="K91" s="14" t="e">
        <f>'1º TRIMESTRE'!#REF!</f>
        <v>#REF!</v>
      </c>
      <c r="L91" s="14" t="e">
        <f>'1º TRIMESTRE'!#REF!</f>
        <v>#REF!</v>
      </c>
      <c r="M91" s="14" t="e">
        <f>'1º TRIMESTRE'!#REF!</f>
        <v>#REF!</v>
      </c>
      <c r="N91" s="14" t="e">
        <f>'1º TRIMESTRE'!#REF!</f>
        <v>#REF!</v>
      </c>
      <c r="O91" s="14" t="e">
        <f>'1º TRIMESTRE'!#REF!</f>
        <v>#REF!</v>
      </c>
      <c r="P91" s="14" t="e">
        <f>'1º TRIMESTRE'!#REF!</f>
        <v>#REF!</v>
      </c>
      <c r="Q91" s="14" t="e">
        <f>'1º TRIMESTRE'!#REF!</f>
        <v>#REF!</v>
      </c>
      <c r="R91" s="14" t="e">
        <f>'1º TRIMESTRE'!#REF!</f>
        <v>#REF!</v>
      </c>
      <c r="S91" s="14" t="e">
        <f>'1º TRIMESTRE'!#REF!</f>
        <v>#REF!</v>
      </c>
      <c r="T91" s="14" t="e">
        <f>'1º TRIMESTRE'!#REF!</f>
        <v>#REF!</v>
      </c>
      <c r="U91" s="14" t="e">
        <f>'1º TRIMESTRE'!#REF!</f>
        <v>#REF!</v>
      </c>
      <c r="V91" s="14" t="e">
        <f>'1º TRIMESTRE'!#REF!</f>
        <v>#REF!</v>
      </c>
      <c r="X91" s="39"/>
    </row>
    <row r="92" spans="1:24">
      <c r="A92" s="14" t="e">
        <f>'1º TRIMESTRE'!#REF!</f>
        <v>#REF!</v>
      </c>
      <c r="B92" s="14" t="e">
        <f>'1º TRIMESTRE'!#REF!</f>
        <v>#REF!</v>
      </c>
      <c r="C92" s="14" t="e">
        <f>'1º TRIMESTRE'!#REF!</f>
        <v>#REF!</v>
      </c>
      <c r="D92" s="14" t="e">
        <f>'1º TRIMESTRE'!#REF!</f>
        <v>#REF!</v>
      </c>
      <c r="E92" s="14" t="e">
        <f>'1º TRIMESTRE'!#REF!</f>
        <v>#REF!</v>
      </c>
      <c r="F92" s="14" t="e">
        <f>'1º TRIMESTRE'!#REF!</f>
        <v>#REF!</v>
      </c>
      <c r="G92" s="14" t="e">
        <f>'1º TRIMESTRE'!#REF!</f>
        <v>#REF!</v>
      </c>
      <c r="H92" s="14" t="e">
        <f>'1º TRIMESTRE'!#REF!</f>
        <v>#REF!</v>
      </c>
      <c r="I92" s="14" t="e">
        <f>'1º TRIMESTRE'!#REF!</f>
        <v>#REF!</v>
      </c>
      <c r="J92" s="14" t="e">
        <f>'1º TRIMESTRE'!#REF!</f>
        <v>#REF!</v>
      </c>
      <c r="K92" s="14" t="e">
        <f>'1º TRIMESTRE'!#REF!</f>
        <v>#REF!</v>
      </c>
      <c r="L92" s="14" t="e">
        <f>'1º TRIMESTRE'!#REF!</f>
        <v>#REF!</v>
      </c>
      <c r="M92" s="14" t="e">
        <f>'1º TRIMESTRE'!#REF!</f>
        <v>#REF!</v>
      </c>
      <c r="N92" s="14" t="e">
        <f>'1º TRIMESTRE'!#REF!</f>
        <v>#REF!</v>
      </c>
      <c r="O92" s="14" t="e">
        <f>'1º TRIMESTRE'!#REF!</f>
        <v>#REF!</v>
      </c>
      <c r="P92" s="14" t="e">
        <f>'1º TRIMESTRE'!#REF!</f>
        <v>#REF!</v>
      </c>
      <c r="Q92" s="14" t="e">
        <f>'1º TRIMESTRE'!#REF!</f>
        <v>#REF!</v>
      </c>
      <c r="R92" s="14" t="e">
        <f>'1º TRIMESTRE'!#REF!</f>
        <v>#REF!</v>
      </c>
      <c r="S92" s="14" t="e">
        <f>'1º TRIMESTRE'!#REF!</f>
        <v>#REF!</v>
      </c>
      <c r="T92" s="14" t="e">
        <f>'1º TRIMESTRE'!#REF!</f>
        <v>#REF!</v>
      </c>
      <c r="U92" s="14" t="e">
        <f>'1º TRIMESTRE'!#REF!</f>
        <v>#REF!</v>
      </c>
      <c r="V92" s="14" t="e">
        <f>'1º TRIMESTRE'!#REF!</f>
        <v>#REF!</v>
      </c>
      <c r="X92" s="39"/>
    </row>
    <row r="93" spans="1:24">
      <c r="A93" s="14" t="e">
        <f>'1º TRIMESTRE'!#REF!</f>
        <v>#REF!</v>
      </c>
      <c r="B93" s="14" t="e">
        <f>'1º TRIMESTRE'!#REF!</f>
        <v>#REF!</v>
      </c>
      <c r="C93" s="14" t="e">
        <f>'1º TRIMESTRE'!#REF!</f>
        <v>#REF!</v>
      </c>
      <c r="D93" s="14" t="e">
        <f>'1º TRIMESTRE'!#REF!</f>
        <v>#REF!</v>
      </c>
      <c r="E93" s="14" t="e">
        <f>'1º TRIMESTRE'!#REF!</f>
        <v>#REF!</v>
      </c>
      <c r="F93" s="14" t="e">
        <f>'1º TRIMESTRE'!#REF!</f>
        <v>#REF!</v>
      </c>
      <c r="G93" s="14" t="e">
        <f>'1º TRIMESTRE'!#REF!</f>
        <v>#REF!</v>
      </c>
      <c r="H93" s="14" t="e">
        <f>'1º TRIMESTRE'!#REF!</f>
        <v>#REF!</v>
      </c>
      <c r="I93" s="14" t="e">
        <f>'1º TRIMESTRE'!#REF!</f>
        <v>#REF!</v>
      </c>
      <c r="J93" s="14" t="e">
        <f>'1º TRIMESTRE'!#REF!</f>
        <v>#REF!</v>
      </c>
      <c r="K93" s="14" t="e">
        <f>'1º TRIMESTRE'!#REF!</f>
        <v>#REF!</v>
      </c>
      <c r="L93" s="14" t="e">
        <f>'1º TRIMESTRE'!#REF!</f>
        <v>#REF!</v>
      </c>
      <c r="M93" s="14" t="e">
        <f>'1º TRIMESTRE'!#REF!</f>
        <v>#REF!</v>
      </c>
      <c r="N93" s="14" t="e">
        <f>'1º TRIMESTRE'!#REF!</f>
        <v>#REF!</v>
      </c>
      <c r="O93" s="14" t="e">
        <f>'1º TRIMESTRE'!#REF!</f>
        <v>#REF!</v>
      </c>
      <c r="P93" s="14" t="e">
        <f>'1º TRIMESTRE'!#REF!</f>
        <v>#REF!</v>
      </c>
      <c r="Q93" s="14" t="e">
        <f>'1º TRIMESTRE'!#REF!</f>
        <v>#REF!</v>
      </c>
      <c r="R93" s="14" t="e">
        <f>'1º TRIMESTRE'!#REF!</f>
        <v>#REF!</v>
      </c>
      <c r="S93" s="14" t="e">
        <f>'1º TRIMESTRE'!#REF!</f>
        <v>#REF!</v>
      </c>
      <c r="T93" s="14" t="e">
        <f>'1º TRIMESTRE'!#REF!</f>
        <v>#REF!</v>
      </c>
      <c r="U93" s="14" t="e">
        <f>'1º TRIMESTRE'!#REF!</f>
        <v>#REF!</v>
      </c>
      <c r="V93" s="14" t="e">
        <f>'1º TRIMESTRE'!#REF!</f>
        <v>#REF!</v>
      </c>
      <c r="X93" s="39"/>
    </row>
    <row r="94" spans="1:24">
      <c r="A94" s="14" t="e">
        <f>'1º TRIMESTRE'!#REF!</f>
        <v>#REF!</v>
      </c>
      <c r="B94" s="14" t="e">
        <f>'1º TRIMESTRE'!#REF!</f>
        <v>#REF!</v>
      </c>
      <c r="C94" s="14" t="e">
        <f>'1º TRIMESTRE'!#REF!</f>
        <v>#REF!</v>
      </c>
      <c r="D94" s="14" t="e">
        <f>'1º TRIMESTRE'!#REF!</f>
        <v>#REF!</v>
      </c>
      <c r="E94" s="14" t="e">
        <f>'1º TRIMESTRE'!#REF!</f>
        <v>#REF!</v>
      </c>
      <c r="F94" s="14" t="e">
        <f>'1º TRIMESTRE'!#REF!</f>
        <v>#REF!</v>
      </c>
      <c r="G94" s="14" t="e">
        <f>'1º TRIMESTRE'!#REF!</f>
        <v>#REF!</v>
      </c>
      <c r="H94" s="14" t="e">
        <f>'1º TRIMESTRE'!#REF!</f>
        <v>#REF!</v>
      </c>
      <c r="I94" s="14" t="e">
        <f>'1º TRIMESTRE'!#REF!</f>
        <v>#REF!</v>
      </c>
      <c r="J94" s="14" t="e">
        <f>'1º TRIMESTRE'!#REF!</f>
        <v>#REF!</v>
      </c>
      <c r="K94" s="14" t="e">
        <f>'1º TRIMESTRE'!#REF!</f>
        <v>#REF!</v>
      </c>
      <c r="L94" s="14" t="e">
        <f>'1º TRIMESTRE'!#REF!</f>
        <v>#REF!</v>
      </c>
      <c r="M94" s="14" t="e">
        <f>'1º TRIMESTRE'!#REF!</f>
        <v>#REF!</v>
      </c>
      <c r="N94" s="14" t="e">
        <f>'1º TRIMESTRE'!#REF!</f>
        <v>#REF!</v>
      </c>
      <c r="O94" s="14" t="e">
        <f>'1º TRIMESTRE'!#REF!</f>
        <v>#REF!</v>
      </c>
      <c r="P94" s="14" t="e">
        <f>'1º TRIMESTRE'!#REF!</f>
        <v>#REF!</v>
      </c>
      <c r="Q94" s="14" t="e">
        <f>'1º TRIMESTRE'!#REF!</f>
        <v>#REF!</v>
      </c>
      <c r="R94" s="14" t="e">
        <f>'1º TRIMESTRE'!#REF!</f>
        <v>#REF!</v>
      </c>
      <c r="S94" s="14" t="e">
        <f>'1º TRIMESTRE'!#REF!</f>
        <v>#REF!</v>
      </c>
      <c r="T94" s="14" t="e">
        <f>'1º TRIMESTRE'!#REF!</f>
        <v>#REF!</v>
      </c>
      <c r="U94" s="14" t="e">
        <f>'1º TRIMESTRE'!#REF!</f>
        <v>#REF!</v>
      </c>
      <c r="V94" s="14" t="e">
        <f>'1º TRIMESTRE'!#REF!</f>
        <v>#REF!</v>
      </c>
      <c r="X94" s="39"/>
    </row>
    <row r="95" spans="1:24">
      <c r="A95" s="14" t="e">
        <f>'1º TRIMESTRE'!#REF!</f>
        <v>#REF!</v>
      </c>
      <c r="B95" s="14" t="e">
        <f>'1º TRIMESTRE'!#REF!</f>
        <v>#REF!</v>
      </c>
      <c r="C95" s="14" t="e">
        <f>'1º TRIMESTRE'!#REF!</f>
        <v>#REF!</v>
      </c>
      <c r="D95" s="14" t="e">
        <f>'1º TRIMESTRE'!#REF!</f>
        <v>#REF!</v>
      </c>
      <c r="E95" s="14" t="e">
        <f>'1º TRIMESTRE'!#REF!</f>
        <v>#REF!</v>
      </c>
      <c r="F95" s="14" t="e">
        <f>'1º TRIMESTRE'!#REF!</f>
        <v>#REF!</v>
      </c>
      <c r="G95" s="14" t="e">
        <f>'1º TRIMESTRE'!#REF!</f>
        <v>#REF!</v>
      </c>
      <c r="H95" s="14" t="e">
        <f>'1º TRIMESTRE'!#REF!</f>
        <v>#REF!</v>
      </c>
      <c r="I95" s="14" t="e">
        <f>'1º TRIMESTRE'!#REF!</f>
        <v>#REF!</v>
      </c>
      <c r="J95" s="14" t="e">
        <f>'1º TRIMESTRE'!#REF!</f>
        <v>#REF!</v>
      </c>
      <c r="K95" s="14" t="e">
        <f>'1º TRIMESTRE'!#REF!</f>
        <v>#REF!</v>
      </c>
      <c r="L95" s="14" t="e">
        <f>'1º TRIMESTRE'!#REF!</f>
        <v>#REF!</v>
      </c>
      <c r="M95" s="14" t="e">
        <f>'1º TRIMESTRE'!#REF!</f>
        <v>#REF!</v>
      </c>
      <c r="N95" s="14" t="e">
        <f>'1º TRIMESTRE'!#REF!</f>
        <v>#REF!</v>
      </c>
      <c r="O95" s="14" t="e">
        <f>'1º TRIMESTRE'!#REF!</f>
        <v>#REF!</v>
      </c>
      <c r="P95" s="14" t="e">
        <f>'1º TRIMESTRE'!#REF!</f>
        <v>#REF!</v>
      </c>
      <c r="Q95" s="14" t="e">
        <f>'1º TRIMESTRE'!#REF!</f>
        <v>#REF!</v>
      </c>
      <c r="R95" s="14" t="e">
        <f>'1º TRIMESTRE'!#REF!</f>
        <v>#REF!</v>
      </c>
      <c r="S95" s="14" t="e">
        <f>'1º TRIMESTRE'!#REF!</f>
        <v>#REF!</v>
      </c>
      <c r="T95" s="14" t="e">
        <f>'1º TRIMESTRE'!#REF!</f>
        <v>#REF!</v>
      </c>
      <c r="U95" s="14" t="e">
        <f>'1º TRIMESTRE'!#REF!</f>
        <v>#REF!</v>
      </c>
      <c r="V95" s="14" t="e">
        <f>'1º TRIMESTRE'!#REF!</f>
        <v>#REF!</v>
      </c>
      <c r="X95" s="39"/>
    </row>
    <row r="96" spans="1:24">
      <c r="A96" s="14" t="e">
        <f>'1º TRIMESTRE'!#REF!</f>
        <v>#REF!</v>
      </c>
      <c r="B96" s="14" t="e">
        <f>'1º TRIMESTRE'!#REF!</f>
        <v>#REF!</v>
      </c>
      <c r="C96" s="14" t="e">
        <f>'1º TRIMESTRE'!#REF!</f>
        <v>#REF!</v>
      </c>
      <c r="D96" s="14" t="e">
        <f>'1º TRIMESTRE'!#REF!</f>
        <v>#REF!</v>
      </c>
      <c r="E96" s="14" t="e">
        <f>'1º TRIMESTRE'!#REF!</f>
        <v>#REF!</v>
      </c>
      <c r="F96" s="14" t="e">
        <f>'1º TRIMESTRE'!#REF!</f>
        <v>#REF!</v>
      </c>
      <c r="G96" s="14" t="e">
        <f>'1º TRIMESTRE'!#REF!</f>
        <v>#REF!</v>
      </c>
      <c r="H96" s="14" t="e">
        <f>'1º TRIMESTRE'!#REF!</f>
        <v>#REF!</v>
      </c>
      <c r="I96" s="14" t="e">
        <f>'1º TRIMESTRE'!#REF!</f>
        <v>#REF!</v>
      </c>
      <c r="J96" s="14" t="e">
        <f>'1º TRIMESTRE'!#REF!</f>
        <v>#REF!</v>
      </c>
      <c r="K96" s="14" t="e">
        <f>'1º TRIMESTRE'!#REF!</f>
        <v>#REF!</v>
      </c>
      <c r="L96" s="14" t="e">
        <f>'1º TRIMESTRE'!#REF!</f>
        <v>#REF!</v>
      </c>
      <c r="M96" s="14" t="e">
        <f>'1º TRIMESTRE'!#REF!</f>
        <v>#REF!</v>
      </c>
      <c r="N96" s="14" t="e">
        <f>'1º TRIMESTRE'!#REF!</f>
        <v>#REF!</v>
      </c>
      <c r="O96" s="14" t="e">
        <f>'1º TRIMESTRE'!#REF!</f>
        <v>#REF!</v>
      </c>
      <c r="P96" s="14" t="e">
        <f>'1º TRIMESTRE'!#REF!</f>
        <v>#REF!</v>
      </c>
      <c r="Q96" s="14" t="e">
        <f>'1º TRIMESTRE'!#REF!</f>
        <v>#REF!</v>
      </c>
      <c r="R96" s="14" t="e">
        <f>'1º TRIMESTRE'!#REF!</f>
        <v>#REF!</v>
      </c>
      <c r="S96" s="14" t="e">
        <f>'1º TRIMESTRE'!#REF!</f>
        <v>#REF!</v>
      </c>
      <c r="T96" s="14" t="e">
        <f>'1º TRIMESTRE'!#REF!</f>
        <v>#REF!</v>
      </c>
      <c r="U96" s="14" t="e">
        <f>'1º TRIMESTRE'!#REF!</f>
        <v>#REF!</v>
      </c>
      <c r="V96" s="14" t="e">
        <f>'1º TRIMESTRE'!#REF!</f>
        <v>#REF!</v>
      </c>
      <c r="X96" s="39"/>
    </row>
    <row r="97" spans="1:24">
      <c r="A97" s="14" t="e">
        <f>'1º TRIMESTRE'!#REF!</f>
        <v>#REF!</v>
      </c>
      <c r="B97" s="14" t="e">
        <f>'1º TRIMESTRE'!#REF!</f>
        <v>#REF!</v>
      </c>
      <c r="C97" s="14" t="e">
        <f>'1º TRIMESTRE'!#REF!</f>
        <v>#REF!</v>
      </c>
      <c r="D97" s="14" t="e">
        <f>'1º TRIMESTRE'!#REF!</f>
        <v>#REF!</v>
      </c>
      <c r="E97" s="14" t="e">
        <f>'1º TRIMESTRE'!#REF!</f>
        <v>#REF!</v>
      </c>
      <c r="F97" s="14" t="e">
        <f>'1º TRIMESTRE'!#REF!</f>
        <v>#REF!</v>
      </c>
      <c r="G97" s="14" t="e">
        <f>'1º TRIMESTRE'!#REF!</f>
        <v>#REF!</v>
      </c>
      <c r="H97" s="14" t="e">
        <f>'1º TRIMESTRE'!#REF!</f>
        <v>#REF!</v>
      </c>
      <c r="I97" s="14" t="e">
        <f>'1º TRIMESTRE'!#REF!</f>
        <v>#REF!</v>
      </c>
      <c r="J97" s="14" t="e">
        <f>'1º TRIMESTRE'!#REF!</f>
        <v>#REF!</v>
      </c>
      <c r="K97" s="14" t="e">
        <f>'1º TRIMESTRE'!#REF!</f>
        <v>#REF!</v>
      </c>
      <c r="L97" s="14" t="e">
        <f>'1º TRIMESTRE'!#REF!</f>
        <v>#REF!</v>
      </c>
      <c r="M97" s="14" t="e">
        <f>'1º TRIMESTRE'!#REF!</f>
        <v>#REF!</v>
      </c>
      <c r="N97" s="14" t="e">
        <f>'1º TRIMESTRE'!#REF!</f>
        <v>#REF!</v>
      </c>
      <c r="O97" s="14" t="e">
        <f>'1º TRIMESTRE'!#REF!</f>
        <v>#REF!</v>
      </c>
      <c r="P97" s="14" t="e">
        <f>'1º TRIMESTRE'!#REF!</f>
        <v>#REF!</v>
      </c>
      <c r="Q97" s="14" t="e">
        <f>'1º TRIMESTRE'!#REF!</f>
        <v>#REF!</v>
      </c>
      <c r="R97" s="14" t="e">
        <f>'1º TRIMESTRE'!#REF!</f>
        <v>#REF!</v>
      </c>
      <c r="S97" s="14" t="e">
        <f>'1º TRIMESTRE'!#REF!</f>
        <v>#REF!</v>
      </c>
      <c r="T97" s="14" t="e">
        <f>'1º TRIMESTRE'!#REF!</f>
        <v>#REF!</v>
      </c>
      <c r="U97" s="14" t="e">
        <f>'1º TRIMESTRE'!#REF!</f>
        <v>#REF!</v>
      </c>
      <c r="V97" s="14" t="e">
        <f>'1º TRIMESTRE'!#REF!</f>
        <v>#REF!</v>
      </c>
      <c r="X97" s="39"/>
    </row>
    <row r="98" spans="1:24">
      <c r="A98" s="14" t="e">
        <f>'1º TRIMESTRE'!#REF!</f>
        <v>#REF!</v>
      </c>
      <c r="B98" s="14" t="e">
        <f>'1º TRIMESTRE'!#REF!</f>
        <v>#REF!</v>
      </c>
      <c r="C98" s="14" t="e">
        <f>'1º TRIMESTRE'!#REF!</f>
        <v>#REF!</v>
      </c>
      <c r="D98" s="14" t="e">
        <f>'1º TRIMESTRE'!#REF!</f>
        <v>#REF!</v>
      </c>
      <c r="E98" s="14" t="e">
        <f>'1º TRIMESTRE'!#REF!</f>
        <v>#REF!</v>
      </c>
      <c r="F98" s="14" t="e">
        <f>'1º TRIMESTRE'!#REF!</f>
        <v>#REF!</v>
      </c>
      <c r="G98" s="14" t="e">
        <f>'1º TRIMESTRE'!#REF!</f>
        <v>#REF!</v>
      </c>
      <c r="H98" s="14" t="e">
        <f>'1º TRIMESTRE'!#REF!</f>
        <v>#REF!</v>
      </c>
      <c r="I98" s="14" t="e">
        <f>'1º TRIMESTRE'!#REF!</f>
        <v>#REF!</v>
      </c>
      <c r="J98" s="14" t="e">
        <f>'1º TRIMESTRE'!#REF!</f>
        <v>#REF!</v>
      </c>
      <c r="K98" s="14" t="e">
        <f>'1º TRIMESTRE'!#REF!</f>
        <v>#REF!</v>
      </c>
      <c r="L98" s="14" t="e">
        <f>'1º TRIMESTRE'!#REF!</f>
        <v>#REF!</v>
      </c>
      <c r="M98" s="14" t="e">
        <f>'1º TRIMESTRE'!#REF!</f>
        <v>#REF!</v>
      </c>
      <c r="N98" s="14" t="e">
        <f>'1º TRIMESTRE'!#REF!</f>
        <v>#REF!</v>
      </c>
      <c r="O98" s="14" t="e">
        <f>'1º TRIMESTRE'!#REF!</f>
        <v>#REF!</v>
      </c>
      <c r="P98" s="14" t="e">
        <f>'1º TRIMESTRE'!#REF!</f>
        <v>#REF!</v>
      </c>
      <c r="Q98" s="14" t="e">
        <f>'1º TRIMESTRE'!#REF!</f>
        <v>#REF!</v>
      </c>
      <c r="R98" s="14" t="e">
        <f>'1º TRIMESTRE'!#REF!</f>
        <v>#REF!</v>
      </c>
      <c r="S98" s="14" t="e">
        <f>'1º TRIMESTRE'!#REF!</f>
        <v>#REF!</v>
      </c>
      <c r="T98" s="14" t="e">
        <f>'1º TRIMESTRE'!#REF!</f>
        <v>#REF!</v>
      </c>
      <c r="U98" s="14" t="e">
        <f>'1º TRIMESTRE'!#REF!</f>
        <v>#REF!</v>
      </c>
      <c r="V98" s="14" t="e">
        <f>'1º TRIMESTRE'!#REF!</f>
        <v>#REF!</v>
      </c>
      <c r="X98" s="39"/>
    </row>
    <row r="99" spans="1:24">
      <c r="A99" s="14" t="e">
        <f>'1º TRIMESTRE'!#REF!</f>
        <v>#REF!</v>
      </c>
      <c r="B99" s="14" t="e">
        <f>'1º TRIMESTRE'!#REF!</f>
        <v>#REF!</v>
      </c>
      <c r="C99" s="14" t="e">
        <f>'1º TRIMESTRE'!#REF!</f>
        <v>#REF!</v>
      </c>
      <c r="D99" s="14" t="e">
        <f>'1º TRIMESTRE'!#REF!</f>
        <v>#REF!</v>
      </c>
      <c r="E99" s="14" t="e">
        <f>'1º TRIMESTRE'!#REF!</f>
        <v>#REF!</v>
      </c>
      <c r="F99" s="14" t="e">
        <f>'1º TRIMESTRE'!#REF!</f>
        <v>#REF!</v>
      </c>
      <c r="G99" s="14" t="e">
        <f>'1º TRIMESTRE'!#REF!</f>
        <v>#REF!</v>
      </c>
      <c r="H99" s="14" t="e">
        <f>'1º TRIMESTRE'!#REF!</f>
        <v>#REF!</v>
      </c>
      <c r="I99" s="14" t="e">
        <f>'1º TRIMESTRE'!#REF!</f>
        <v>#REF!</v>
      </c>
      <c r="J99" s="14" t="e">
        <f>'1º TRIMESTRE'!#REF!</f>
        <v>#REF!</v>
      </c>
      <c r="K99" s="14" t="e">
        <f>'1º TRIMESTRE'!#REF!</f>
        <v>#REF!</v>
      </c>
      <c r="L99" s="14" t="e">
        <f>'1º TRIMESTRE'!#REF!</f>
        <v>#REF!</v>
      </c>
      <c r="M99" s="14" t="e">
        <f>'1º TRIMESTRE'!#REF!</f>
        <v>#REF!</v>
      </c>
      <c r="N99" s="14" t="e">
        <f>'1º TRIMESTRE'!#REF!</f>
        <v>#REF!</v>
      </c>
      <c r="O99" s="14" t="e">
        <f>'1º TRIMESTRE'!#REF!</f>
        <v>#REF!</v>
      </c>
      <c r="P99" s="14" t="e">
        <f>'1º TRIMESTRE'!#REF!</f>
        <v>#REF!</v>
      </c>
      <c r="Q99" s="14" t="e">
        <f>'1º TRIMESTRE'!#REF!</f>
        <v>#REF!</v>
      </c>
      <c r="R99" s="14" t="e">
        <f>'1º TRIMESTRE'!#REF!</f>
        <v>#REF!</v>
      </c>
      <c r="S99" s="14" t="e">
        <f>'1º TRIMESTRE'!#REF!</f>
        <v>#REF!</v>
      </c>
      <c r="T99" s="14" t="e">
        <f>'1º TRIMESTRE'!#REF!</f>
        <v>#REF!</v>
      </c>
      <c r="U99" s="14" t="e">
        <f>'1º TRIMESTRE'!#REF!</f>
        <v>#REF!</v>
      </c>
      <c r="V99" s="14" t="e">
        <f>'1º TRIMESTRE'!#REF!</f>
        <v>#REF!</v>
      </c>
      <c r="X99" s="39"/>
    </row>
    <row r="100" spans="1:24">
      <c r="A100" s="14" t="e">
        <f>'1º TRIMESTRE'!#REF!</f>
        <v>#REF!</v>
      </c>
      <c r="B100" s="14" t="e">
        <f>'1º TRIMESTRE'!#REF!</f>
        <v>#REF!</v>
      </c>
      <c r="C100" s="14" t="e">
        <f>'1º TRIMESTRE'!#REF!</f>
        <v>#REF!</v>
      </c>
      <c r="D100" s="14" t="e">
        <f>'1º TRIMESTRE'!#REF!</f>
        <v>#REF!</v>
      </c>
      <c r="E100" s="14" t="e">
        <f>'1º TRIMESTRE'!#REF!</f>
        <v>#REF!</v>
      </c>
      <c r="F100" s="14" t="e">
        <f>'1º TRIMESTRE'!#REF!</f>
        <v>#REF!</v>
      </c>
      <c r="G100" s="14" t="e">
        <f>'1º TRIMESTRE'!#REF!</f>
        <v>#REF!</v>
      </c>
      <c r="H100" s="14" t="e">
        <f>'1º TRIMESTRE'!#REF!</f>
        <v>#REF!</v>
      </c>
      <c r="I100" s="14" t="e">
        <f>'1º TRIMESTRE'!#REF!</f>
        <v>#REF!</v>
      </c>
      <c r="J100" s="14" t="e">
        <f>'1º TRIMESTRE'!#REF!</f>
        <v>#REF!</v>
      </c>
      <c r="K100" s="14" t="e">
        <f>'1º TRIMESTRE'!#REF!</f>
        <v>#REF!</v>
      </c>
      <c r="L100" s="14" t="e">
        <f>'1º TRIMESTRE'!#REF!</f>
        <v>#REF!</v>
      </c>
      <c r="M100" s="14" t="e">
        <f>'1º TRIMESTRE'!#REF!</f>
        <v>#REF!</v>
      </c>
      <c r="N100" s="14" t="e">
        <f>'1º TRIMESTRE'!#REF!</f>
        <v>#REF!</v>
      </c>
      <c r="O100" s="14" t="e">
        <f>'1º TRIMESTRE'!#REF!</f>
        <v>#REF!</v>
      </c>
      <c r="P100" s="14" t="e">
        <f>'1º TRIMESTRE'!#REF!</f>
        <v>#REF!</v>
      </c>
      <c r="Q100" s="14" t="e">
        <f>'1º TRIMESTRE'!#REF!</f>
        <v>#REF!</v>
      </c>
      <c r="R100" s="14" t="e">
        <f>'1º TRIMESTRE'!#REF!</f>
        <v>#REF!</v>
      </c>
      <c r="S100" s="14" t="e">
        <f>'1º TRIMESTRE'!#REF!</f>
        <v>#REF!</v>
      </c>
      <c r="T100" s="14" t="e">
        <f>'1º TRIMESTRE'!#REF!</f>
        <v>#REF!</v>
      </c>
      <c r="U100" s="14" t="e">
        <f>'1º TRIMESTRE'!#REF!</f>
        <v>#REF!</v>
      </c>
      <c r="V100" s="14" t="e">
        <f>'1º TRIMESTRE'!#REF!</f>
        <v>#REF!</v>
      </c>
      <c r="X100" s="39"/>
    </row>
    <row r="101" spans="1:24">
      <c r="A101" s="14" t="e">
        <f>'1º TRIMESTRE'!#REF!</f>
        <v>#REF!</v>
      </c>
      <c r="B101" s="14" t="e">
        <f>'1º TRIMESTRE'!#REF!</f>
        <v>#REF!</v>
      </c>
      <c r="C101" s="14" t="e">
        <f>'1º TRIMESTRE'!#REF!</f>
        <v>#REF!</v>
      </c>
      <c r="D101" s="14" t="e">
        <f>'1º TRIMESTRE'!#REF!</f>
        <v>#REF!</v>
      </c>
      <c r="E101" s="14" t="e">
        <f>'1º TRIMESTRE'!#REF!</f>
        <v>#REF!</v>
      </c>
      <c r="F101" s="14" t="e">
        <f>'1º TRIMESTRE'!#REF!</f>
        <v>#REF!</v>
      </c>
      <c r="G101" s="14" t="e">
        <f>'1º TRIMESTRE'!#REF!</f>
        <v>#REF!</v>
      </c>
      <c r="H101" s="14" t="e">
        <f>'1º TRIMESTRE'!#REF!</f>
        <v>#REF!</v>
      </c>
      <c r="I101" s="14" t="e">
        <f>'1º TRIMESTRE'!#REF!</f>
        <v>#REF!</v>
      </c>
      <c r="J101" s="14" t="e">
        <f>'1º TRIMESTRE'!#REF!</f>
        <v>#REF!</v>
      </c>
      <c r="K101" s="14" t="e">
        <f>'1º TRIMESTRE'!#REF!</f>
        <v>#REF!</v>
      </c>
      <c r="L101" s="14" t="e">
        <f>'1º TRIMESTRE'!#REF!</f>
        <v>#REF!</v>
      </c>
      <c r="M101" s="14" t="e">
        <f>'1º TRIMESTRE'!#REF!</f>
        <v>#REF!</v>
      </c>
      <c r="N101" s="14" t="e">
        <f>'1º TRIMESTRE'!#REF!</f>
        <v>#REF!</v>
      </c>
      <c r="O101" s="14" t="e">
        <f>'1º TRIMESTRE'!#REF!</f>
        <v>#REF!</v>
      </c>
      <c r="P101" s="14" t="e">
        <f>'1º TRIMESTRE'!#REF!</f>
        <v>#REF!</v>
      </c>
      <c r="Q101" s="14" t="e">
        <f>'1º TRIMESTRE'!#REF!</f>
        <v>#REF!</v>
      </c>
      <c r="R101" s="14" t="e">
        <f>'1º TRIMESTRE'!#REF!</f>
        <v>#REF!</v>
      </c>
      <c r="S101" s="14" t="e">
        <f>'1º TRIMESTRE'!#REF!</f>
        <v>#REF!</v>
      </c>
      <c r="T101" s="14" t="e">
        <f>'1º TRIMESTRE'!#REF!</f>
        <v>#REF!</v>
      </c>
      <c r="U101" s="14" t="e">
        <f>'1º TRIMESTRE'!#REF!</f>
        <v>#REF!</v>
      </c>
      <c r="V101" s="14" t="e">
        <f>'1º TRIMESTRE'!#REF!</f>
        <v>#REF!</v>
      </c>
      <c r="X101" s="39"/>
    </row>
    <row r="102" spans="1:24">
      <c r="A102" s="14" t="e">
        <f>'1º TRIMESTRE'!#REF!</f>
        <v>#REF!</v>
      </c>
      <c r="B102" s="14" t="e">
        <f>'1º TRIMESTRE'!#REF!</f>
        <v>#REF!</v>
      </c>
      <c r="C102" s="14" t="e">
        <f>'1º TRIMESTRE'!#REF!</f>
        <v>#REF!</v>
      </c>
      <c r="D102" s="14" t="e">
        <f>'1º TRIMESTRE'!#REF!</f>
        <v>#REF!</v>
      </c>
      <c r="E102" s="14" t="e">
        <f>'1º TRIMESTRE'!#REF!</f>
        <v>#REF!</v>
      </c>
      <c r="F102" s="14" t="e">
        <f>'1º TRIMESTRE'!#REF!</f>
        <v>#REF!</v>
      </c>
      <c r="G102" s="14" t="e">
        <f>'1º TRIMESTRE'!#REF!</f>
        <v>#REF!</v>
      </c>
      <c r="H102" s="14" t="e">
        <f>'1º TRIMESTRE'!#REF!</f>
        <v>#REF!</v>
      </c>
      <c r="I102" s="14" t="e">
        <f>'1º TRIMESTRE'!#REF!</f>
        <v>#REF!</v>
      </c>
      <c r="J102" s="14" t="e">
        <f>'1º TRIMESTRE'!#REF!</f>
        <v>#REF!</v>
      </c>
      <c r="K102" s="14" t="e">
        <f>'1º TRIMESTRE'!#REF!</f>
        <v>#REF!</v>
      </c>
      <c r="L102" s="14" t="e">
        <f>'1º TRIMESTRE'!#REF!</f>
        <v>#REF!</v>
      </c>
      <c r="M102" s="14" t="e">
        <f>'1º TRIMESTRE'!#REF!</f>
        <v>#REF!</v>
      </c>
      <c r="N102" s="14" t="e">
        <f>'1º TRIMESTRE'!#REF!</f>
        <v>#REF!</v>
      </c>
      <c r="O102" s="14" t="e">
        <f>'1º TRIMESTRE'!#REF!</f>
        <v>#REF!</v>
      </c>
      <c r="P102" s="14" t="e">
        <f>'1º TRIMESTRE'!#REF!</f>
        <v>#REF!</v>
      </c>
      <c r="Q102" s="14" t="e">
        <f>'1º TRIMESTRE'!#REF!</f>
        <v>#REF!</v>
      </c>
      <c r="R102" s="14" t="e">
        <f>'1º TRIMESTRE'!#REF!</f>
        <v>#REF!</v>
      </c>
      <c r="S102" s="14" t="e">
        <f>'1º TRIMESTRE'!#REF!</f>
        <v>#REF!</v>
      </c>
      <c r="T102" s="14" t="e">
        <f>'1º TRIMESTRE'!#REF!</f>
        <v>#REF!</v>
      </c>
      <c r="U102" s="14" t="e">
        <f>'1º TRIMESTRE'!#REF!</f>
        <v>#REF!</v>
      </c>
      <c r="V102" s="14" t="e">
        <f>'1º TRIMESTRE'!#REF!</f>
        <v>#REF!</v>
      </c>
      <c r="X102" s="39"/>
    </row>
    <row r="103" spans="1:24">
      <c r="A103" s="14" t="e">
        <f>'1º TRIMESTRE'!#REF!</f>
        <v>#REF!</v>
      </c>
      <c r="B103" s="14" t="e">
        <f>'1º TRIMESTRE'!#REF!</f>
        <v>#REF!</v>
      </c>
      <c r="C103" s="14" t="e">
        <f>'1º TRIMESTRE'!#REF!</f>
        <v>#REF!</v>
      </c>
      <c r="D103" s="14" t="e">
        <f>'1º TRIMESTRE'!#REF!</f>
        <v>#REF!</v>
      </c>
      <c r="E103" s="14" t="e">
        <f>'1º TRIMESTRE'!#REF!</f>
        <v>#REF!</v>
      </c>
      <c r="F103" s="14" t="e">
        <f>'1º TRIMESTRE'!#REF!</f>
        <v>#REF!</v>
      </c>
      <c r="G103" s="14" t="e">
        <f>'1º TRIMESTRE'!#REF!</f>
        <v>#REF!</v>
      </c>
      <c r="H103" s="14" t="e">
        <f>'1º TRIMESTRE'!#REF!</f>
        <v>#REF!</v>
      </c>
      <c r="I103" s="14" t="e">
        <f>'1º TRIMESTRE'!#REF!</f>
        <v>#REF!</v>
      </c>
      <c r="J103" s="14" t="e">
        <f>'1º TRIMESTRE'!#REF!</f>
        <v>#REF!</v>
      </c>
      <c r="K103" s="14" t="e">
        <f>'1º TRIMESTRE'!#REF!</f>
        <v>#REF!</v>
      </c>
      <c r="L103" s="14" t="e">
        <f>'1º TRIMESTRE'!#REF!</f>
        <v>#REF!</v>
      </c>
      <c r="M103" s="14" t="e">
        <f>'1º TRIMESTRE'!#REF!</f>
        <v>#REF!</v>
      </c>
      <c r="N103" s="14" t="e">
        <f>'1º TRIMESTRE'!#REF!</f>
        <v>#REF!</v>
      </c>
      <c r="O103" s="14" t="e">
        <f>'1º TRIMESTRE'!#REF!</f>
        <v>#REF!</v>
      </c>
      <c r="P103" s="14" t="e">
        <f>'1º TRIMESTRE'!#REF!</f>
        <v>#REF!</v>
      </c>
      <c r="Q103" s="14" t="e">
        <f>'1º TRIMESTRE'!#REF!</f>
        <v>#REF!</v>
      </c>
      <c r="R103" s="14" t="e">
        <f>'1º TRIMESTRE'!#REF!</f>
        <v>#REF!</v>
      </c>
      <c r="S103" s="14" t="e">
        <f>'1º TRIMESTRE'!#REF!</f>
        <v>#REF!</v>
      </c>
      <c r="T103" s="14" t="e">
        <f>'1º TRIMESTRE'!#REF!</f>
        <v>#REF!</v>
      </c>
      <c r="U103" s="14" t="e">
        <f>'1º TRIMESTRE'!#REF!</f>
        <v>#REF!</v>
      </c>
      <c r="V103" s="14" t="e">
        <f>'1º TRIMESTRE'!#REF!</f>
        <v>#REF!</v>
      </c>
      <c r="X103" s="39"/>
    </row>
    <row r="104" spans="1:24">
      <c r="A104" s="14" t="e">
        <f>'1º TRIMESTRE'!#REF!</f>
        <v>#REF!</v>
      </c>
      <c r="B104" s="14" t="e">
        <f>'1º TRIMESTRE'!#REF!</f>
        <v>#REF!</v>
      </c>
      <c r="C104" s="14" t="e">
        <f>'1º TRIMESTRE'!#REF!</f>
        <v>#REF!</v>
      </c>
      <c r="D104" s="14" t="e">
        <f>'1º TRIMESTRE'!#REF!</f>
        <v>#REF!</v>
      </c>
      <c r="E104" s="14" t="e">
        <f>'1º TRIMESTRE'!#REF!</f>
        <v>#REF!</v>
      </c>
      <c r="F104" s="14" t="e">
        <f>'1º TRIMESTRE'!#REF!</f>
        <v>#REF!</v>
      </c>
      <c r="G104" s="14" t="e">
        <f>'1º TRIMESTRE'!#REF!</f>
        <v>#REF!</v>
      </c>
      <c r="H104" s="14" t="e">
        <f>'1º TRIMESTRE'!#REF!</f>
        <v>#REF!</v>
      </c>
      <c r="I104" s="14" t="e">
        <f>'1º TRIMESTRE'!#REF!</f>
        <v>#REF!</v>
      </c>
      <c r="J104" s="14" t="e">
        <f>'1º TRIMESTRE'!#REF!</f>
        <v>#REF!</v>
      </c>
      <c r="K104" s="14" t="e">
        <f>'1º TRIMESTRE'!#REF!</f>
        <v>#REF!</v>
      </c>
      <c r="L104" s="14" t="e">
        <f>'1º TRIMESTRE'!#REF!</f>
        <v>#REF!</v>
      </c>
      <c r="M104" s="14" t="e">
        <f>'1º TRIMESTRE'!#REF!</f>
        <v>#REF!</v>
      </c>
      <c r="N104" s="14" t="e">
        <f>'1º TRIMESTRE'!#REF!</f>
        <v>#REF!</v>
      </c>
      <c r="O104" s="14" t="e">
        <f>'1º TRIMESTRE'!#REF!</f>
        <v>#REF!</v>
      </c>
      <c r="P104" s="14" t="e">
        <f>'1º TRIMESTRE'!#REF!</f>
        <v>#REF!</v>
      </c>
      <c r="Q104" s="14" t="e">
        <f>'1º TRIMESTRE'!#REF!</f>
        <v>#REF!</v>
      </c>
      <c r="R104" s="14" t="e">
        <f>'1º TRIMESTRE'!#REF!</f>
        <v>#REF!</v>
      </c>
      <c r="S104" s="14" t="e">
        <f>'1º TRIMESTRE'!#REF!</f>
        <v>#REF!</v>
      </c>
      <c r="T104" s="14" t="e">
        <f>'1º TRIMESTRE'!#REF!</f>
        <v>#REF!</v>
      </c>
      <c r="U104" s="14" t="e">
        <f>'1º TRIMESTRE'!#REF!</f>
        <v>#REF!</v>
      </c>
      <c r="V104" s="14" t="e">
        <f>'1º TRIMESTRE'!#REF!</f>
        <v>#REF!</v>
      </c>
      <c r="X104" s="39"/>
    </row>
    <row r="105" spans="1:24">
      <c r="A105" s="14" t="e">
        <f>'1º TRIMESTRE'!#REF!</f>
        <v>#REF!</v>
      </c>
      <c r="B105" s="14" t="e">
        <f>'1º TRIMESTRE'!#REF!</f>
        <v>#REF!</v>
      </c>
      <c r="C105" s="14" t="e">
        <f>'1º TRIMESTRE'!#REF!</f>
        <v>#REF!</v>
      </c>
      <c r="D105" s="14" t="e">
        <f>'1º TRIMESTRE'!#REF!</f>
        <v>#REF!</v>
      </c>
      <c r="E105" s="14" t="e">
        <f>'1º TRIMESTRE'!#REF!</f>
        <v>#REF!</v>
      </c>
      <c r="F105" s="14" t="e">
        <f>'1º TRIMESTRE'!#REF!</f>
        <v>#REF!</v>
      </c>
      <c r="G105" s="14" t="e">
        <f>'1º TRIMESTRE'!#REF!</f>
        <v>#REF!</v>
      </c>
      <c r="H105" s="14" t="e">
        <f>'1º TRIMESTRE'!#REF!</f>
        <v>#REF!</v>
      </c>
      <c r="I105" s="14" t="e">
        <f>'1º TRIMESTRE'!#REF!</f>
        <v>#REF!</v>
      </c>
      <c r="J105" s="14" t="e">
        <f>'1º TRIMESTRE'!#REF!</f>
        <v>#REF!</v>
      </c>
      <c r="K105" s="14" t="e">
        <f>'1º TRIMESTRE'!#REF!</f>
        <v>#REF!</v>
      </c>
      <c r="L105" s="14" t="e">
        <f>'1º TRIMESTRE'!#REF!</f>
        <v>#REF!</v>
      </c>
      <c r="M105" s="14" t="e">
        <f>'1º TRIMESTRE'!#REF!</f>
        <v>#REF!</v>
      </c>
      <c r="N105" s="14" t="e">
        <f>'1º TRIMESTRE'!#REF!</f>
        <v>#REF!</v>
      </c>
      <c r="O105" s="14" t="e">
        <f>'1º TRIMESTRE'!#REF!</f>
        <v>#REF!</v>
      </c>
      <c r="P105" s="14" t="e">
        <f>'1º TRIMESTRE'!#REF!</f>
        <v>#REF!</v>
      </c>
      <c r="Q105" s="14" t="e">
        <f>'1º TRIMESTRE'!#REF!</f>
        <v>#REF!</v>
      </c>
      <c r="R105" s="14" t="e">
        <f>'1º TRIMESTRE'!#REF!</f>
        <v>#REF!</v>
      </c>
      <c r="S105" s="14" t="e">
        <f>'1º TRIMESTRE'!#REF!</f>
        <v>#REF!</v>
      </c>
      <c r="T105" s="14" t="e">
        <f>'1º TRIMESTRE'!#REF!</f>
        <v>#REF!</v>
      </c>
      <c r="U105" s="14" t="e">
        <f>'1º TRIMESTRE'!#REF!</f>
        <v>#REF!</v>
      </c>
      <c r="V105" s="14" t="e">
        <f>'1º TRIMESTRE'!#REF!</f>
        <v>#REF!</v>
      </c>
      <c r="X105" s="39"/>
    </row>
    <row r="106" spans="1:24">
      <c r="A106" s="14" t="e">
        <f>'1º TRIMESTRE'!#REF!</f>
        <v>#REF!</v>
      </c>
      <c r="B106" s="14" t="e">
        <f>'1º TRIMESTRE'!#REF!</f>
        <v>#REF!</v>
      </c>
      <c r="C106" s="14" t="e">
        <f>'1º TRIMESTRE'!#REF!</f>
        <v>#REF!</v>
      </c>
      <c r="D106" s="14" t="e">
        <f>'1º TRIMESTRE'!#REF!</f>
        <v>#REF!</v>
      </c>
      <c r="E106" s="14" t="e">
        <f>'1º TRIMESTRE'!#REF!</f>
        <v>#REF!</v>
      </c>
      <c r="F106" s="14" t="e">
        <f>'1º TRIMESTRE'!#REF!</f>
        <v>#REF!</v>
      </c>
      <c r="G106" s="14" t="e">
        <f>'1º TRIMESTRE'!#REF!</f>
        <v>#REF!</v>
      </c>
      <c r="H106" s="14" t="e">
        <f>'1º TRIMESTRE'!#REF!</f>
        <v>#REF!</v>
      </c>
      <c r="I106" s="14" t="e">
        <f>'1º TRIMESTRE'!#REF!</f>
        <v>#REF!</v>
      </c>
      <c r="J106" s="14" t="e">
        <f>'1º TRIMESTRE'!#REF!</f>
        <v>#REF!</v>
      </c>
      <c r="K106" s="14" t="e">
        <f>'1º TRIMESTRE'!#REF!</f>
        <v>#REF!</v>
      </c>
      <c r="L106" s="14" t="e">
        <f>'1º TRIMESTRE'!#REF!</f>
        <v>#REF!</v>
      </c>
      <c r="M106" s="14" t="e">
        <f>'1º TRIMESTRE'!#REF!</f>
        <v>#REF!</v>
      </c>
      <c r="N106" s="14" t="e">
        <f>'1º TRIMESTRE'!#REF!</f>
        <v>#REF!</v>
      </c>
      <c r="O106" s="14" t="e">
        <f>'1º TRIMESTRE'!#REF!</f>
        <v>#REF!</v>
      </c>
      <c r="P106" s="14" t="e">
        <f>'1º TRIMESTRE'!#REF!</f>
        <v>#REF!</v>
      </c>
      <c r="Q106" s="14" t="e">
        <f>'1º TRIMESTRE'!#REF!</f>
        <v>#REF!</v>
      </c>
      <c r="R106" s="14" t="e">
        <f>'1º TRIMESTRE'!#REF!</f>
        <v>#REF!</v>
      </c>
      <c r="S106" s="14" t="e">
        <f>'1º TRIMESTRE'!#REF!</f>
        <v>#REF!</v>
      </c>
      <c r="T106" s="14" t="e">
        <f>'1º TRIMESTRE'!#REF!</f>
        <v>#REF!</v>
      </c>
      <c r="U106" s="14" t="e">
        <f>'1º TRIMESTRE'!#REF!</f>
        <v>#REF!</v>
      </c>
      <c r="V106" s="14" t="e">
        <f>'1º TRIMESTRE'!#REF!</f>
        <v>#REF!</v>
      </c>
      <c r="X106" s="39"/>
    </row>
    <row r="107" spans="1:24">
      <c r="A107" s="14" t="e">
        <f>'1º TRIMESTRE'!#REF!</f>
        <v>#REF!</v>
      </c>
      <c r="B107" s="14" t="e">
        <f>'1º TRIMESTRE'!#REF!</f>
        <v>#REF!</v>
      </c>
      <c r="C107" s="14" t="e">
        <f>'1º TRIMESTRE'!#REF!</f>
        <v>#REF!</v>
      </c>
      <c r="D107" s="14" t="e">
        <f>'1º TRIMESTRE'!#REF!</f>
        <v>#REF!</v>
      </c>
      <c r="E107" s="14" t="e">
        <f>'1º TRIMESTRE'!#REF!</f>
        <v>#REF!</v>
      </c>
      <c r="F107" s="14" t="e">
        <f>'1º TRIMESTRE'!#REF!</f>
        <v>#REF!</v>
      </c>
      <c r="G107" s="14" t="e">
        <f>'1º TRIMESTRE'!#REF!</f>
        <v>#REF!</v>
      </c>
      <c r="H107" s="14" t="e">
        <f>'1º TRIMESTRE'!#REF!</f>
        <v>#REF!</v>
      </c>
      <c r="I107" s="14" t="e">
        <f>'1º TRIMESTRE'!#REF!</f>
        <v>#REF!</v>
      </c>
      <c r="J107" s="14" t="e">
        <f>'1º TRIMESTRE'!#REF!</f>
        <v>#REF!</v>
      </c>
      <c r="K107" s="14" t="e">
        <f>'1º TRIMESTRE'!#REF!</f>
        <v>#REF!</v>
      </c>
      <c r="L107" s="14" t="e">
        <f>'1º TRIMESTRE'!#REF!</f>
        <v>#REF!</v>
      </c>
      <c r="M107" s="14" t="e">
        <f>'1º TRIMESTRE'!#REF!</f>
        <v>#REF!</v>
      </c>
      <c r="N107" s="14" t="e">
        <f>'1º TRIMESTRE'!#REF!</f>
        <v>#REF!</v>
      </c>
      <c r="O107" s="14" t="e">
        <f>'1º TRIMESTRE'!#REF!</f>
        <v>#REF!</v>
      </c>
      <c r="P107" s="14" t="e">
        <f>'1º TRIMESTRE'!#REF!</f>
        <v>#REF!</v>
      </c>
      <c r="Q107" s="14" t="e">
        <f>'1º TRIMESTRE'!#REF!</f>
        <v>#REF!</v>
      </c>
      <c r="R107" s="14" t="e">
        <f>'1º TRIMESTRE'!#REF!</f>
        <v>#REF!</v>
      </c>
      <c r="S107" s="14" t="e">
        <f>'1º TRIMESTRE'!#REF!</f>
        <v>#REF!</v>
      </c>
      <c r="T107" s="14" t="e">
        <f>'1º TRIMESTRE'!#REF!</f>
        <v>#REF!</v>
      </c>
      <c r="U107" s="14" t="e">
        <f>'1º TRIMESTRE'!#REF!</f>
        <v>#REF!</v>
      </c>
      <c r="V107" s="14" t="e">
        <f>'1º TRIMESTRE'!#REF!</f>
        <v>#REF!</v>
      </c>
      <c r="X107" s="39"/>
    </row>
    <row r="108" spans="1:24">
      <c r="A108" s="14" t="e">
        <f>'1º TRIMESTRE'!#REF!</f>
        <v>#REF!</v>
      </c>
      <c r="B108" s="14" t="e">
        <f>'1º TRIMESTRE'!#REF!</f>
        <v>#REF!</v>
      </c>
      <c r="C108" s="14" t="e">
        <f>'1º TRIMESTRE'!#REF!</f>
        <v>#REF!</v>
      </c>
      <c r="D108" s="14" t="e">
        <f>'1º TRIMESTRE'!#REF!</f>
        <v>#REF!</v>
      </c>
      <c r="E108" s="14" t="e">
        <f>'1º TRIMESTRE'!#REF!</f>
        <v>#REF!</v>
      </c>
      <c r="F108" s="14" t="e">
        <f>'1º TRIMESTRE'!#REF!</f>
        <v>#REF!</v>
      </c>
      <c r="G108" s="14" t="e">
        <f>'1º TRIMESTRE'!#REF!</f>
        <v>#REF!</v>
      </c>
      <c r="H108" s="14" t="e">
        <f>'1º TRIMESTRE'!#REF!</f>
        <v>#REF!</v>
      </c>
      <c r="I108" s="14" t="e">
        <f>'1º TRIMESTRE'!#REF!</f>
        <v>#REF!</v>
      </c>
      <c r="J108" s="14" t="e">
        <f>'1º TRIMESTRE'!#REF!</f>
        <v>#REF!</v>
      </c>
      <c r="K108" s="14" t="e">
        <f>'1º TRIMESTRE'!#REF!</f>
        <v>#REF!</v>
      </c>
      <c r="L108" s="14" t="e">
        <f>'1º TRIMESTRE'!#REF!</f>
        <v>#REF!</v>
      </c>
      <c r="M108" s="14" t="e">
        <f>'1º TRIMESTRE'!#REF!</f>
        <v>#REF!</v>
      </c>
      <c r="N108" s="14" t="e">
        <f>'1º TRIMESTRE'!#REF!</f>
        <v>#REF!</v>
      </c>
      <c r="O108" s="14" t="e">
        <f>'1º TRIMESTRE'!#REF!</f>
        <v>#REF!</v>
      </c>
      <c r="P108" s="14" t="e">
        <f>'1º TRIMESTRE'!#REF!</f>
        <v>#REF!</v>
      </c>
      <c r="Q108" s="14" t="e">
        <f>'1º TRIMESTRE'!#REF!</f>
        <v>#REF!</v>
      </c>
      <c r="R108" s="14" t="e">
        <f>'1º TRIMESTRE'!#REF!</f>
        <v>#REF!</v>
      </c>
      <c r="S108" s="14" t="e">
        <f>'1º TRIMESTRE'!#REF!</f>
        <v>#REF!</v>
      </c>
      <c r="T108" s="14" t="e">
        <f>'1º TRIMESTRE'!#REF!</f>
        <v>#REF!</v>
      </c>
      <c r="U108" s="14" t="e">
        <f>'1º TRIMESTRE'!#REF!</f>
        <v>#REF!</v>
      </c>
      <c r="V108" s="14" t="e">
        <f>'1º TRIMESTRE'!#REF!</f>
        <v>#REF!</v>
      </c>
      <c r="X108" s="39"/>
    </row>
    <row r="109" spans="1:24">
      <c r="A109" s="14" t="e">
        <f>'1º TRIMESTRE'!#REF!</f>
        <v>#REF!</v>
      </c>
      <c r="B109" s="14" t="e">
        <f>'1º TRIMESTRE'!#REF!</f>
        <v>#REF!</v>
      </c>
      <c r="C109" s="14" t="e">
        <f>'1º TRIMESTRE'!#REF!</f>
        <v>#REF!</v>
      </c>
      <c r="D109" s="14" t="e">
        <f>'1º TRIMESTRE'!#REF!</f>
        <v>#REF!</v>
      </c>
      <c r="E109" s="14" t="e">
        <f>'1º TRIMESTRE'!#REF!</f>
        <v>#REF!</v>
      </c>
      <c r="F109" s="14" t="e">
        <f>'1º TRIMESTRE'!#REF!</f>
        <v>#REF!</v>
      </c>
      <c r="G109" s="14" t="e">
        <f>'1º TRIMESTRE'!#REF!</f>
        <v>#REF!</v>
      </c>
      <c r="H109" s="14" t="e">
        <f>'1º TRIMESTRE'!#REF!</f>
        <v>#REF!</v>
      </c>
      <c r="I109" s="14" t="e">
        <f>'1º TRIMESTRE'!#REF!</f>
        <v>#REF!</v>
      </c>
      <c r="J109" s="14" t="e">
        <f>'1º TRIMESTRE'!#REF!</f>
        <v>#REF!</v>
      </c>
      <c r="K109" s="14" t="e">
        <f>'1º TRIMESTRE'!#REF!</f>
        <v>#REF!</v>
      </c>
      <c r="L109" s="14" t="e">
        <f>'1º TRIMESTRE'!#REF!</f>
        <v>#REF!</v>
      </c>
      <c r="M109" s="14" t="e">
        <f>'1º TRIMESTRE'!#REF!</f>
        <v>#REF!</v>
      </c>
      <c r="N109" s="14" t="e">
        <f>'1º TRIMESTRE'!#REF!</f>
        <v>#REF!</v>
      </c>
      <c r="O109" s="14" t="e">
        <f>'1º TRIMESTRE'!#REF!</f>
        <v>#REF!</v>
      </c>
      <c r="P109" s="14" t="e">
        <f>'1º TRIMESTRE'!#REF!</f>
        <v>#REF!</v>
      </c>
      <c r="Q109" s="14" t="e">
        <f>'1º TRIMESTRE'!#REF!</f>
        <v>#REF!</v>
      </c>
      <c r="R109" s="14" t="e">
        <f>'1º TRIMESTRE'!#REF!</f>
        <v>#REF!</v>
      </c>
      <c r="S109" s="14" t="e">
        <f>'1º TRIMESTRE'!#REF!</f>
        <v>#REF!</v>
      </c>
      <c r="T109" s="14" t="e">
        <f>'1º TRIMESTRE'!#REF!</f>
        <v>#REF!</v>
      </c>
      <c r="U109" s="14" t="e">
        <f>'1º TRIMESTRE'!#REF!</f>
        <v>#REF!</v>
      </c>
      <c r="V109" s="14" t="e">
        <f>'1º TRIMESTRE'!#REF!</f>
        <v>#REF!</v>
      </c>
      <c r="X109" s="39"/>
    </row>
    <row r="110" spans="1:24">
      <c r="A110" s="14" t="e">
        <f>'1º TRIMESTRE'!#REF!</f>
        <v>#REF!</v>
      </c>
      <c r="B110" s="14" t="e">
        <f>'1º TRIMESTRE'!#REF!</f>
        <v>#REF!</v>
      </c>
      <c r="C110" s="14" t="e">
        <f>'1º TRIMESTRE'!#REF!</f>
        <v>#REF!</v>
      </c>
      <c r="D110" s="14" t="e">
        <f>'1º TRIMESTRE'!#REF!</f>
        <v>#REF!</v>
      </c>
      <c r="E110" s="14" t="e">
        <f>'1º TRIMESTRE'!#REF!</f>
        <v>#REF!</v>
      </c>
      <c r="F110" s="14" t="e">
        <f>'1º TRIMESTRE'!#REF!</f>
        <v>#REF!</v>
      </c>
      <c r="G110" s="14" t="e">
        <f>'1º TRIMESTRE'!#REF!</f>
        <v>#REF!</v>
      </c>
      <c r="H110" s="14" t="e">
        <f>'1º TRIMESTRE'!#REF!</f>
        <v>#REF!</v>
      </c>
      <c r="I110" s="14" t="e">
        <f>'1º TRIMESTRE'!#REF!</f>
        <v>#REF!</v>
      </c>
      <c r="J110" s="14" t="e">
        <f>'1º TRIMESTRE'!#REF!</f>
        <v>#REF!</v>
      </c>
      <c r="K110" s="14" t="e">
        <f>'1º TRIMESTRE'!#REF!</f>
        <v>#REF!</v>
      </c>
      <c r="L110" s="14" t="e">
        <f>'1º TRIMESTRE'!#REF!</f>
        <v>#REF!</v>
      </c>
      <c r="M110" s="14" t="e">
        <f>'1º TRIMESTRE'!#REF!</f>
        <v>#REF!</v>
      </c>
      <c r="N110" s="14" t="e">
        <f>'1º TRIMESTRE'!#REF!</f>
        <v>#REF!</v>
      </c>
      <c r="O110" s="14" t="e">
        <f>'1º TRIMESTRE'!#REF!</f>
        <v>#REF!</v>
      </c>
      <c r="P110" s="14" t="e">
        <f>'1º TRIMESTRE'!#REF!</f>
        <v>#REF!</v>
      </c>
      <c r="Q110" s="14" t="e">
        <f>'1º TRIMESTRE'!#REF!</f>
        <v>#REF!</v>
      </c>
      <c r="R110" s="14" t="e">
        <f>'1º TRIMESTRE'!#REF!</f>
        <v>#REF!</v>
      </c>
      <c r="S110" s="14" t="e">
        <f>'1º TRIMESTRE'!#REF!</f>
        <v>#REF!</v>
      </c>
      <c r="T110" s="14" t="e">
        <f>'1º TRIMESTRE'!#REF!</f>
        <v>#REF!</v>
      </c>
      <c r="U110" s="14" t="e">
        <f>'1º TRIMESTRE'!#REF!</f>
        <v>#REF!</v>
      </c>
      <c r="V110" s="14" t="e">
        <f>'1º TRIMESTRE'!#REF!</f>
        <v>#REF!</v>
      </c>
      <c r="X110" s="39"/>
    </row>
    <row r="111" spans="1:24">
      <c r="A111" s="14" t="e">
        <f>'1º TRIMESTRE'!#REF!</f>
        <v>#REF!</v>
      </c>
      <c r="B111" s="14" t="e">
        <f>'1º TRIMESTRE'!#REF!</f>
        <v>#REF!</v>
      </c>
      <c r="C111" s="14" t="e">
        <f>'1º TRIMESTRE'!#REF!</f>
        <v>#REF!</v>
      </c>
      <c r="D111" s="14" t="e">
        <f>'1º TRIMESTRE'!#REF!</f>
        <v>#REF!</v>
      </c>
      <c r="E111" s="14" t="e">
        <f>'1º TRIMESTRE'!#REF!</f>
        <v>#REF!</v>
      </c>
      <c r="F111" s="14" t="e">
        <f>'1º TRIMESTRE'!#REF!</f>
        <v>#REF!</v>
      </c>
      <c r="G111" s="14" t="e">
        <f>'1º TRIMESTRE'!#REF!</f>
        <v>#REF!</v>
      </c>
      <c r="H111" s="14" t="e">
        <f>'1º TRIMESTRE'!#REF!</f>
        <v>#REF!</v>
      </c>
      <c r="I111" s="14" t="e">
        <f>'1º TRIMESTRE'!#REF!</f>
        <v>#REF!</v>
      </c>
      <c r="J111" s="14" t="e">
        <f>'1º TRIMESTRE'!#REF!</f>
        <v>#REF!</v>
      </c>
      <c r="K111" s="14" t="e">
        <f>'1º TRIMESTRE'!#REF!</f>
        <v>#REF!</v>
      </c>
      <c r="L111" s="14" t="e">
        <f>'1º TRIMESTRE'!#REF!</f>
        <v>#REF!</v>
      </c>
      <c r="M111" s="14" t="e">
        <f>'1º TRIMESTRE'!#REF!</f>
        <v>#REF!</v>
      </c>
      <c r="N111" s="14" t="e">
        <f>'1º TRIMESTRE'!#REF!</f>
        <v>#REF!</v>
      </c>
      <c r="O111" s="14" t="e">
        <f>'1º TRIMESTRE'!#REF!</f>
        <v>#REF!</v>
      </c>
      <c r="P111" s="14" t="e">
        <f>'1º TRIMESTRE'!#REF!</f>
        <v>#REF!</v>
      </c>
      <c r="Q111" s="14" t="e">
        <f>'1º TRIMESTRE'!#REF!</f>
        <v>#REF!</v>
      </c>
      <c r="R111" s="14" t="e">
        <f>'1º TRIMESTRE'!#REF!</f>
        <v>#REF!</v>
      </c>
      <c r="S111" s="14" t="e">
        <f>'1º TRIMESTRE'!#REF!</f>
        <v>#REF!</v>
      </c>
      <c r="T111" s="14" t="e">
        <f>'1º TRIMESTRE'!#REF!</f>
        <v>#REF!</v>
      </c>
      <c r="U111" s="14" t="e">
        <f>'1º TRIMESTRE'!#REF!</f>
        <v>#REF!</v>
      </c>
      <c r="V111" s="14" t="e">
        <f>'1º TRIMESTRE'!#REF!</f>
        <v>#REF!</v>
      </c>
      <c r="X111" s="39"/>
    </row>
    <row r="112" spans="1:24">
      <c r="A112" s="14" t="e">
        <f>'1º TRIMESTRE'!#REF!</f>
        <v>#REF!</v>
      </c>
      <c r="B112" s="14" t="e">
        <f>'1º TRIMESTRE'!#REF!</f>
        <v>#REF!</v>
      </c>
      <c r="C112" s="14" t="e">
        <f>'1º TRIMESTRE'!#REF!</f>
        <v>#REF!</v>
      </c>
      <c r="D112" s="14" t="e">
        <f>'1º TRIMESTRE'!#REF!</f>
        <v>#REF!</v>
      </c>
      <c r="E112" s="14" t="e">
        <f>'1º TRIMESTRE'!#REF!</f>
        <v>#REF!</v>
      </c>
      <c r="F112" s="14" t="e">
        <f>'1º TRIMESTRE'!#REF!</f>
        <v>#REF!</v>
      </c>
      <c r="G112" s="14" t="e">
        <f>'1º TRIMESTRE'!#REF!</f>
        <v>#REF!</v>
      </c>
      <c r="H112" s="14" t="e">
        <f>'1º TRIMESTRE'!#REF!</f>
        <v>#REF!</v>
      </c>
      <c r="I112" s="14" t="e">
        <f>'1º TRIMESTRE'!#REF!</f>
        <v>#REF!</v>
      </c>
      <c r="J112" s="14" t="e">
        <f>'1º TRIMESTRE'!#REF!</f>
        <v>#REF!</v>
      </c>
      <c r="K112" s="14" t="e">
        <f>'1º TRIMESTRE'!#REF!</f>
        <v>#REF!</v>
      </c>
      <c r="L112" s="14" t="e">
        <f>'1º TRIMESTRE'!#REF!</f>
        <v>#REF!</v>
      </c>
      <c r="M112" s="14" t="e">
        <f>'1º TRIMESTRE'!#REF!</f>
        <v>#REF!</v>
      </c>
      <c r="N112" s="14" t="e">
        <f>'1º TRIMESTRE'!#REF!</f>
        <v>#REF!</v>
      </c>
      <c r="O112" s="14" t="e">
        <f>'1º TRIMESTRE'!#REF!</f>
        <v>#REF!</v>
      </c>
      <c r="P112" s="14" t="e">
        <f>'1º TRIMESTRE'!#REF!</f>
        <v>#REF!</v>
      </c>
      <c r="Q112" s="14" t="e">
        <f>'1º TRIMESTRE'!#REF!</f>
        <v>#REF!</v>
      </c>
      <c r="R112" s="14" t="e">
        <f>'1º TRIMESTRE'!#REF!</f>
        <v>#REF!</v>
      </c>
      <c r="S112" s="14" t="e">
        <f>'1º TRIMESTRE'!#REF!</f>
        <v>#REF!</v>
      </c>
      <c r="T112" s="14" t="e">
        <f>'1º TRIMESTRE'!#REF!</f>
        <v>#REF!</v>
      </c>
      <c r="U112" s="14" t="e">
        <f>'1º TRIMESTRE'!#REF!</f>
        <v>#REF!</v>
      </c>
      <c r="V112" s="14" t="e">
        <f>'1º TRIMESTRE'!#REF!</f>
        <v>#REF!</v>
      </c>
      <c r="X112" s="39"/>
    </row>
  </sheetData>
  <sheetProtection selectLockedCells="1" selectUnlockedCells="1"/>
  <mergeCells count="21">
    <mergeCell ref="Q6:U6"/>
    <mergeCell ref="I5:P5"/>
    <mergeCell ref="F4:H4"/>
    <mergeCell ref="J4:O4"/>
    <mergeCell ref="N6:O6"/>
    <mergeCell ref="P6:P7"/>
    <mergeCell ref="Q4:V4"/>
    <mergeCell ref="Q5:V5"/>
    <mergeCell ref="V6:V7"/>
    <mergeCell ref="A5:C5"/>
    <mergeCell ref="A6:A7"/>
    <mergeCell ref="C6:F6"/>
    <mergeCell ref="I6:M6"/>
    <mergeCell ref="G6:H6"/>
    <mergeCell ref="B6:B7"/>
    <mergeCell ref="E5:H5"/>
    <mergeCell ref="A1:V1"/>
    <mergeCell ref="A2:F2"/>
    <mergeCell ref="G2:V2"/>
    <mergeCell ref="A3:F3"/>
    <mergeCell ref="G3:V3"/>
  </mergeCells>
  <pageMargins left="0.19685039370078741" right="0.19685039370078741" top="0.43307086614173229" bottom="0.43307086614173229" header="0.19685039370078741" footer="0.19685039370078741"/>
  <pageSetup paperSize="9" scale="70" firstPageNumber="0" fitToWidth="2" fitToHeight="100" orientation="landscape" verticalDpi="300" r:id="rId1"/>
  <headerFooter alignWithMargins="0">
    <oddHeader>&amp;C&amp;"Arial,Normal"&amp;10&amp;A</oddHeader>
    <oddFooter>&amp;C&amp;"Arial,Normal"&amp;10Página &amp;P</oddFooter>
  </headerFooter>
</worksheet>
</file>

<file path=xl/worksheets/sheet3.xml><?xml version="1.0" encoding="utf-8"?>
<worksheet xmlns="http://schemas.openxmlformats.org/spreadsheetml/2006/main" xmlns:r="http://schemas.openxmlformats.org/officeDocument/2006/relationships">
  <sheetPr codeName="Plan3"/>
  <dimension ref="A1:AQ87"/>
  <sheetViews>
    <sheetView view="pageBreakPreview" zoomScaleNormal="125" zoomScaleSheetLayoutView="100" workbookViewId="0">
      <selection activeCell="F4" sqref="F4:H4"/>
    </sheetView>
  </sheetViews>
  <sheetFormatPr defaultColWidth="9.15234375" defaultRowHeight="10.75"/>
  <cols>
    <col min="1" max="1" width="15.3828125" style="20" bestFit="1" customWidth="1"/>
    <col min="2" max="2" width="31.84375" style="20" customWidth="1"/>
    <col min="3" max="3" width="15.3828125" style="24" bestFit="1" customWidth="1"/>
    <col min="4" max="4" width="16.84375" style="24" bestFit="1" customWidth="1"/>
    <col min="5" max="5" width="10.53515625" style="92" bestFit="1" customWidth="1"/>
    <col min="6" max="6" width="11.69140625" style="92" bestFit="1" customWidth="1"/>
    <col min="7" max="7" width="12.69140625" style="24" customWidth="1"/>
    <col min="8" max="8" width="25.69140625" style="25" bestFit="1" customWidth="1"/>
    <col min="9" max="9" width="8.3828125" style="11" customWidth="1"/>
    <col min="10" max="10" width="9.3046875" style="34" customWidth="1"/>
    <col min="11" max="11" width="4.84375" style="11" bestFit="1" customWidth="1"/>
    <col min="12" max="12" width="11" style="92" customWidth="1"/>
    <col min="13" max="13" width="7.69140625" style="34" customWidth="1"/>
    <col min="14" max="14" width="6.3828125" style="11" bestFit="1" customWidth="1"/>
    <col min="15" max="15" width="10.53515625" style="94" customWidth="1"/>
    <col min="16" max="16" width="9.15234375" style="92" bestFit="1" customWidth="1"/>
    <col min="17" max="17" width="9.53515625" style="11" bestFit="1" customWidth="1"/>
    <col min="18" max="18" width="12.3046875" style="94" customWidth="1"/>
    <col min="19" max="19" width="11.3828125" style="92" customWidth="1"/>
    <col min="20" max="20" width="10.69140625" style="92" customWidth="1"/>
    <col min="21" max="21" width="11.3046875" style="92" customWidth="1"/>
    <col min="22" max="22" width="7.3828125" style="11" bestFit="1" customWidth="1"/>
    <col min="23" max="23" width="9.53515625" style="20" bestFit="1" customWidth="1"/>
    <col min="24" max="16384" width="9.15234375" style="20"/>
  </cols>
  <sheetData>
    <row r="1" spans="1:43" s="30" customFormat="1">
      <c r="A1" s="197" t="s">
        <v>0</v>
      </c>
      <c r="B1" s="197"/>
      <c r="C1" s="197"/>
      <c r="D1" s="197"/>
      <c r="E1" s="197"/>
      <c r="F1" s="197"/>
      <c r="G1" s="197"/>
      <c r="H1" s="197"/>
      <c r="I1" s="197"/>
      <c r="J1" s="197"/>
      <c r="K1" s="197"/>
      <c r="L1" s="197"/>
      <c r="M1" s="197"/>
      <c r="N1" s="197"/>
      <c r="O1" s="197"/>
      <c r="P1" s="197"/>
      <c r="Q1" s="197"/>
      <c r="R1" s="197"/>
      <c r="S1" s="197"/>
      <c r="T1" s="197"/>
      <c r="U1" s="197"/>
      <c r="V1" s="195"/>
      <c r="W1" s="38"/>
      <c r="X1" s="39"/>
      <c r="Y1" s="40"/>
      <c r="Z1" s="40"/>
    </row>
    <row r="2" spans="1:43" s="30" customFormat="1">
      <c r="A2" s="198" t="s">
        <v>114</v>
      </c>
      <c r="B2" s="198"/>
      <c r="C2" s="198"/>
      <c r="D2" s="198"/>
      <c r="E2" s="198"/>
      <c r="F2" s="198"/>
      <c r="G2" s="199"/>
      <c r="H2" s="199"/>
      <c r="I2" s="199"/>
      <c r="J2" s="199"/>
      <c r="K2" s="199"/>
      <c r="L2" s="199"/>
      <c r="M2" s="199"/>
      <c r="N2" s="199"/>
      <c r="O2" s="199"/>
      <c r="P2" s="199"/>
      <c r="Q2" s="199"/>
      <c r="R2" s="199"/>
      <c r="S2" s="199"/>
      <c r="T2" s="199"/>
      <c r="U2" s="199"/>
      <c r="V2" s="199"/>
      <c r="W2" s="38"/>
      <c r="X2" s="39"/>
      <c r="Y2" s="40"/>
      <c r="Z2" s="40"/>
    </row>
    <row r="3" spans="1:43" s="30" customFormat="1">
      <c r="A3" s="197" t="s">
        <v>84</v>
      </c>
      <c r="B3" s="197"/>
      <c r="C3" s="197"/>
      <c r="D3" s="197"/>
      <c r="E3" s="197"/>
      <c r="F3" s="197"/>
      <c r="G3" s="199"/>
      <c r="H3" s="199"/>
      <c r="I3" s="199"/>
      <c r="J3" s="199"/>
      <c r="K3" s="199"/>
      <c r="L3" s="199"/>
      <c r="M3" s="199"/>
      <c r="N3" s="199"/>
      <c r="O3" s="199"/>
      <c r="P3" s="199"/>
      <c r="Q3" s="199"/>
      <c r="R3" s="199"/>
      <c r="S3" s="199"/>
      <c r="T3" s="199"/>
      <c r="U3" s="199"/>
      <c r="V3" s="199"/>
      <c r="W3" s="38"/>
      <c r="X3" s="39"/>
      <c r="Y3" s="40"/>
      <c r="Z3" s="40"/>
    </row>
    <row r="4" spans="1:43" s="30" customFormat="1">
      <c r="A4" s="145" t="s">
        <v>276</v>
      </c>
      <c r="B4" s="84"/>
      <c r="C4" s="31"/>
      <c r="D4" s="53"/>
      <c r="E4" s="86"/>
      <c r="F4" s="195"/>
      <c r="G4" s="195"/>
      <c r="H4" s="195"/>
      <c r="I4" s="33"/>
      <c r="J4" s="202" t="s">
        <v>113</v>
      </c>
      <c r="K4" s="202"/>
      <c r="L4" s="202"/>
      <c r="M4" s="202"/>
      <c r="N4" s="202"/>
      <c r="O4" s="202"/>
      <c r="P4" s="87"/>
      <c r="Q4" s="196" t="s">
        <v>113</v>
      </c>
      <c r="R4" s="196"/>
      <c r="S4" s="196"/>
      <c r="T4" s="196"/>
      <c r="U4" s="196"/>
      <c r="V4" s="196"/>
      <c r="W4" s="38"/>
      <c r="X4" s="39"/>
      <c r="Y4" s="40"/>
      <c r="Z4" s="40"/>
    </row>
    <row r="5" spans="1:43" s="48" customFormat="1" ht="12">
      <c r="A5" s="211" t="s">
        <v>167</v>
      </c>
      <c r="B5" s="211"/>
      <c r="C5" s="211"/>
      <c r="D5" s="88"/>
      <c r="E5" s="89"/>
      <c r="F5" s="205" t="s">
        <v>1</v>
      </c>
      <c r="G5" s="205"/>
      <c r="H5" s="205"/>
      <c r="I5" s="49"/>
      <c r="J5" s="207" t="s">
        <v>2</v>
      </c>
      <c r="K5" s="207"/>
      <c r="L5" s="207"/>
      <c r="M5" s="207"/>
      <c r="N5" s="207"/>
      <c r="O5" s="207"/>
      <c r="P5" s="87"/>
      <c r="Q5" s="205" t="s">
        <v>3</v>
      </c>
      <c r="R5" s="205"/>
      <c r="S5" s="205"/>
      <c r="T5" s="205"/>
      <c r="U5" s="205"/>
      <c r="V5" s="205"/>
      <c r="X5" s="47"/>
      <c r="Y5" s="47"/>
      <c r="AD5" s="47"/>
      <c r="AE5" s="47"/>
      <c r="AQ5" s="47"/>
    </row>
    <row r="6" spans="1:43" s="33" customFormat="1">
      <c r="A6" s="190" t="s">
        <v>4</v>
      </c>
      <c r="B6" s="190" t="s">
        <v>5</v>
      </c>
      <c r="C6" s="208" t="s">
        <v>6</v>
      </c>
      <c r="D6" s="209"/>
      <c r="E6" s="209"/>
      <c r="F6" s="210"/>
      <c r="G6" s="208" t="s">
        <v>8</v>
      </c>
      <c r="H6" s="209"/>
      <c r="I6" s="209"/>
      <c r="J6" s="209"/>
      <c r="K6" s="209"/>
      <c r="L6" s="209"/>
      <c r="M6" s="210"/>
      <c r="N6" s="190" t="s">
        <v>9</v>
      </c>
      <c r="O6" s="190"/>
      <c r="P6" s="206" t="s">
        <v>10</v>
      </c>
      <c r="Q6" s="190" t="s">
        <v>11</v>
      </c>
      <c r="R6" s="190"/>
      <c r="S6" s="190"/>
      <c r="T6" s="190"/>
      <c r="U6" s="190"/>
      <c r="V6" s="190" t="s">
        <v>12</v>
      </c>
    </row>
    <row r="7" spans="1:43" s="33" customFormat="1" ht="53.6">
      <c r="A7" s="190"/>
      <c r="B7" s="190"/>
      <c r="C7" s="85" t="s">
        <v>13</v>
      </c>
      <c r="D7" s="85" t="s">
        <v>14</v>
      </c>
      <c r="E7" s="90" t="s">
        <v>85</v>
      </c>
      <c r="F7" s="90" t="s">
        <v>16</v>
      </c>
      <c r="G7" s="85" t="s">
        <v>17</v>
      </c>
      <c r="H7" s="85" t="s">
        <v>18</v>
      </c>
      <c r="I7" s="83" t="s">
        <v>13</v>
      </c>
      <c r="J7" s="32" t="s">
        <v>19</v>
      </c>
      <c r="K7" s="83" t="s">
        <v>20</v>
      </c>
      <c r="L7" s="91" t="s">
        <v>21</v>
      </c>
      <c r="M7" s="32" t="s">
        <v>22</v>
      </c>
      <c r="N7" s="83" t="s">
        <v>23</v>
      </c>
      <c r="O7" s="91" t="s">
        <v>24</v>
      </c>
      <c r="P7" s="206"/>
      <c r="Q7" s="83" t="s">
        <v>25</v>
      </c>
      <c r="R7" s="91" t="s">
        <v>26</v>
      </c>
      <c r="S7" s="91" t="s">
        <v>27</v>
      </c>
      <c r="T7" s="91" t="s">
        <v>28</v>
      </c>
      <c r="U7" s="91" t="s">
        <v>29</v>
      </c>
      <c r="V7" s="190"/>
    </row>
    <row r="8" spans="1:43">
      <c r="A8" s="14" t="e">
        <f>'2º TRIMESTRE'!A8</f>
        <v>#REF!</v>
      </c>
      <c r="B8" s="14" t="e">
        <f>'2º TRIMESTRE'!B8</f>
        <v>#REF!</v>
      </c>
      <c r="C8" s="14" t="e">
        <f>'2º TRIMESTRE'!C8</f>
        <v>#REF!</v>
      </c>
      <c r="D8" s="14" t="e">
        <f>'2º TRIMESTRE'!D8</f>
        <v>#REF!</v>
      </c>
      <c r="E8" s="82" t="e">
        <f>'2º TRIMESTRE'!E8</f>
        <v>#REF!</v>
      </c>
      <c r="F8" s="82" t="e">
        <f>'2º TRIMESTRE'!F8</f>
        <v>#REF!</v>
      </c>
      <c r="G8" s="15" t="e">
        <f>'2º TRIMESTRE'!G8</f>
        <v>#REF!</v>
      </c>
      <c r="H8" s="14" t="e">
        <f>'2º TRIMESTRE'!H8</f>
        <v>#REF!</v>
      </c>
      <c r="I8" s="15" t="e">
        <f>'2º TRIMESTRE'!I8</f>
        <v>#REF!</v>
      </c>
      <c r="J8" s="52" t="e">
        <f>'2º TRIMESTRE'!J8</f>
        <v>#REF!</v>
      </c>
      <c r="K8" s="15" t="e">
        <f>'2º TRIMESTRE'!K8</f>
        <v>#REF!</v>
      </c>
      <c r="L8" s="82" t="e">
        <f>'2º TRIMESTRE'!L8</f>
        <v>#REF!</v>
      </c>
      <c r="M8" s="52" t="e">
        <f>J8+K8+N8</f>
        <v>#REF!</v>
      </c>
      <c r="N8" s="15" t="e">
        <f>'2º TRIMESTRE'!N8</f>
        <v>#REF!</v>
      </c>
      <c r="O8" s="82" t="e">
        <f>'2º TRIMESTRE'!O8</f>
        <v>#REF!</v>
      </c>
      <c r="P8" s="82" t="e">
        <f>'2º TRIMESTRE'!P8</f>
        <v>#REF!</v>
      </c>
      <c r="Q8" s="15" t="e">
        <f>'2º TRIMESTRE'!Q8</f>
        <v>#REF!</v>
      </c>
      <c r="R8" s="82" t="e">
        <f>'2º TRIMESTRE'!R8+332547.32</f>
        <v>#REF!</v>
      </c>
      <c r="S8" s="82">
        <v>332547.32</v>
      </c>
      <c r="T8" s="82" t="e">
        <f>'2º TRIMESTRE'!T8+S8</f>
        <v>#REF!</v>
      </c>
      <c r="U8" s="82" t="e">
        <f>'2º TRIMESTRE'!U8+S8</f>
        <v>#REF!</v>
      </c>
      <c r="V8" s="15" t="e">
        <f>'2º TRIMESTRE'!V8</f>
        <v>#REF!</v>
      </c>
      <c r="W8" s="45"/>
    </row>
    <row r="9" spans="1:43" ht="32.15">
      <c r="A9" s="14" t="str">
        <f>'2º TRIMESTRE'!A9</f>
        <v>TOMADA DE PREÇOS /nº 07/2016</v>
      </c>
      <c r="B9" s="14" t="str">
        <f>'2º TRIMESTRE'!B9</f>
        <v>SEVIÇOS CONTÍNUOS DE MANUTENÇÃO CORRETIVA E PREVENTIVA E EXPANSÃO DA ILUMINAÇÃO ESPECIAL NA CIDADE DO RECIFE</v>
      </c>
      <c r="C9" s="14">
        <f>'2º TRIMESTRE'!C9</f>
        <v>0</v>
      </c>
      <c r="D9" s="14">
        <f>'2º TRIMESTRE'!D9</f>
        <v>0</v>
      </c>
      <c r="E9" s="82">
        <f>'2º TRIMESTRE'!E9</f>
        <v>0</v>
      </c>
      <c r="F9" s="82">
        <f>'2º TRIMESTRE'!F9</f>
        <v>0</v>
      </c>
      <c r="G9" s="15" t="str">
        <f>'2º TRIMESTRE'!G9</f>
        <v>41.116.138/0001-38</v>
      </c>
      <c r="H9" s="14" t="str">
        <f>'2º TRIMESTRE'!H9</f>
        <v xml:space="preserve">REAL ENERGY LTDA                                            </v>
      </c>
      <c r="I9" s="15" t="str">
        <f>'2º TRIMESTRE'!I9</f>
        <v>6-002/17</v>
      </c>
      <c r="J9" s="52">
        <f>'2º TRIMESTRE'!J9</f>
        <v>42795</v>
      </c>
      <c r="K9" s="15">
        <f>'2º TRIMESTRE'!K9</f>
        <v>365</v>
      </c>
      <c r="L9" s="82">
        <f>'2º TRIMESTRE'!L9</f>
        <v>1223866.8</v>
      </c>
      <c r="M9" s="52">
        <f t="shared" ref="M9:M72" si="0">J9+K9+N9</f>
        <v>44620</v>
      </c>
      <c r="N9" s="15">
        <f>'2º TRIMESTRE'!N9</f>
        <v>1460</v>
      </c>
      <c r="O9" s="82">
        <f>'2º TRIMESTRE'!O9</f>
        <v>4923839.5200000005</v>
      </c>
      <c r="P9" s="82">
        <f>'2º TRIMESTRE'!P9</f>
        <v>81998.64</v>
      </c>
      <c r="Q9" s="15" t="str">
        <f>'2º TRIMESTRE'!Q9</f>
        <v>3.3.90.39</v>
      </c>
      <c r="R9" s="82">
        <f>'2º TRIMESTRE'!R9</f>
        <v>6138666.4100000001</v>
      </c>
      <c r="S9" s="82">
        <v>0</v>
      </c>
      <c r="T9" s="82">
        <f>'2º TRIMESTRE'!T9+S9</f>
        <v>219564.08</v>
      </c>
      <c r="U9" s="82" t="e">
        <f>'2º TRIMESTRE'!U9+S9</f>
        <v>#REF!</v>
      </c>
      <c r="V9" s="15" t="str">
        <f>'2º TRIMESTRE'!V9</f>
        <v>andamento</v>
      </c>
      <c r="W9" s="45"/>
    </row>
    <row r="10" spans="1:43" ht="42.9">
      <c r="A10" s="14" t="str">
        <f>'2º TRIMESTRE'!A10</f>
        <v>CONCORRÊNCIA / nº 12/2020</v>
      </c>
      <c r="B10" s="14" t="str">
        <f>'2º TRIMESTRE'!B10</f>
        <v>CONTRATACAO DOS SERVICOS DE LIMPEZA E MANUTENCAO DO SISTEMA DE MICRODRENAGEM DE AGUAS PLUVIAIS DO MUNICIPIO DO RECIFE RPA 02 E 03</v>
      </c>
      <c r="C10" s="14">
        <f>'2º TRIMESTRE'!C10</f>
        <v>0</v>
      </c>
      <c r="D10" s="14">
        <f>'2º TRIMESTRE'!D10</f>
        <v>0</v>
      </c>
      <c r="E10" s="82">
        <f>'2º TRIMESTRE'!E10</f>
        <v>0</v>
      </c>
      <c r="F10" s="82">
        <f>'2º TRIMESTRE'!F10</f>
        <v>0</v>
      </c>
      <c r="G10" s="15" t="str">
        <f>'2º TRIMESTRE'!G10</f>
        <v>07.693.988/0001-60</v>
      </c>
      <c r="H10" s="14" t="str">
        <f>'2º TRIMESTRE'!H10</f>
        <v>F R F  ENGENHARIA LTDA</v>
      </c>
      <c r="I10" s="15" t="str">
        <f>'2º TRIMESTRE'!I10</f>
        <v>6-002/21</v>
      </c>
      <c r="J10" s="52">
        <f>'2º TRIMESTRE'!J10</f>
        <v>44204</v>
      </c>
      <c r="K10" s="15">
        <f>'2º TRIMESTRE'!K10</f>
        <v>1125</v>
      </c>
      <c r="L10" s="82">
        <f>'2º TRIMESTRE'!L10</f>
        <v>17543900.190000001</v>
      </c>
      <c r="M10" s="52">
        <f t="shared" si="0"/>
        <v>45329</v>
      </c>
      <c r="N10" s="15">
        <f>'2º TRIMESTRE'!N10</f>
        <v>0</v>
      </c>
      <c r="O10" s="82">
        <f>'2º TRIMESTRE'!O10</f>
        <v>713682.3</v>
      </c>
      <c r="P10" s="82">
        <f>'2º TRIMESTRE'!P10</f>
        <v>0</v>
      </c>
      <c r="Q10" s="15" t="str">
        <f>'2º TRIMESTRE'!Q10</f>
        <v>3.3.90.39</v>
      </c>
      <c r="R10" s="82">
        <f>'2º TRIMESTRE'!R10</f>
        <v>5744809.7300000004</v>
      </c>
      <c r="S10" s="82">
        <v>0</v>
      </c>
      <c r="T10" s="82">
        <f>'2º TRIMESTRE'!T10+S10</f>
        <v>1011036.82</v>
      </c>
      <c r="U10" s="82" t="e">
        <f>'2º TRIMESTRE'!U10+S10</f>
        <v>#REF!</v>
      </c>
      <c r="V10" s="15" t="s">
        <v>190</v>
      </c>
      <c r="W10" s="45"/>
    </row>
    <row r="11" spans="1:43" ht="32.15">
      <c r="A11" s="14" t="str">
        <f>'2º TRIMESTRE'!A11</f>
        <v>Pregão Eletrônico/ nº 017/2020</v>
      </c>
      <c r="B11" s="14" t="str">
        <f>'2º TRIMESTRE'!B11</f>
        <v>SERVIÇO DE MANUTENÇÃO E/OU INSTALAÇÃO DE BRINQUEDOS DE MADEIRA, INSTALADOS EM PARQUES E PRAÇAS DA CIDADE DO RECIFE</v>
      </c>
      <c r="C11" s="14">
        <f>'2º TRIMESTRE'!C11</f>
        <v>0</v>
      </c>
      <c r="D11" s="14">
        <f>'2º TRIMESTRE'!D11</f>
        <v>0</v>
      </c>
      <c r="E11" s="82">
        <f>'2º TRIMESTRE'!E11</f>
        <v>0</v>
      </c>
      <c r="F11" s="82">
        <f>'2º TRIMESTRE'!F11</f>
        <v>0</v>
      </c>
      <c r="G11" s="15" t="str">
        <f>'2º TRIMESTRE'!G11</f>
        <v>06.157.352/0001-31</v>
      </c>
      <c r="H11" s="14" t="str">
        <f>'2º TRIMESTRE'!H11</f>
        <v>ROBERTO &amp; JAIR COMERCIO E SERVICOS LTDA - EPP</v>
      </c>
      <c r="I11" s="15" t="str">
        <f>'2º TRIMESTRE'!I11</f>
        <v>6-003/21</v>
      </c>
      <c r="J11" s="52">
        <f>'2º TRIMESTRE'!J11</f>
        <v>44246</v>
      </c>
      <c r="K11" s="15">
        <f>'2º TRIMESTRE'!K11</f>
        <v>365</v>
      </c>
      <c r="L11" s="82">
        <f>'2º TRIMESTRE'!L11</f>
        <v>159999.96</v>
      </c>
      <c r="M11" s="52">
        <f t="shared" si="0"/>
        <v>44701</v>
      </c>
      <c r="N11" s="15">
        <f>'2º TRIMESTRE'!N11</f>
        <v>90</v>
      </c>
      <c r="O11" s="82">
        <f>'2º TRIMESTRE'!O11</f>
        <v>39425.78</v>
      </c>
      <c r="P11" s="82">
        <f>'2º TRIMESTRE'!P11</f>
        <v>0</v>
      </c>
      <c r="Q11" s="15" t="str">
        <f>'2º TRIMESTRE'!Q11</f>
        <v>3.3.90.39</v>
      </c>
      <c r="R11" s="82">
        <f>'2º TRIMESTRE'!R11</f>
        <v>184625.54</v>
      </c>
      <c r="S11" s="82">
        <v>0</v>
      </c>
      <c r="T11" s="82">
        <f>'2º TRIMESTRE'!T11+S11</f>
        <v>33487.69</v>
      </c>
      <c r="U11" s="82" t="e">
        <f>'2º TRIMESTRE'!U11+S11</f>
        <v>#REF!</v>
      </c>
      <c r="V11" s="15" t="str">
        <f>'2º TRIMESTRE'!V11</f>
        <v>andamento</v>
      </c>
      <c r="W11" s="45"/>
    </row>
    <row r="12" spans="1:43" ht="64.3">
      <c r="A12" s="14" t="str">
        <f>'2º TRIMESTRE'!A12</f>
        <v>CONCORRÊNCIA / nº 14/2020</v>
      </c>
      <c r="B12" s="14" t="str">
        <f>'2º TRIMESTRE'!B12</f>
        <v>CONTRATACAO DE EMPRESA DE ENGENHARIA PARA REALIZACAO DE MANUTENCAO PREVENTIVA E CORRETIVA DO SISTEMA DE ILUMINACAO PUBLICA CONVENCIONAL DAS RPAS DO MUNICIPIO DO RECIFE. EM POSTES COM ATE 12 METROS DE ALTURA LOTE I. RPA 1 E 6</v>
      </c>
      <c r="C12" s="14">
        <f>'2º TRIMESTRE'!C12</f>
        <v>0</v>
      </c>
      <c r="D12" s="14">
        <f>'2º TRIMESTRE'!D12</f>
        <v>0</v>
      </c>
      <c r="E12" s="82">
        <f>'2º TRIMESTRE'!E12</f>
        <v>0</v>
      </c>
      <c r="F12" s="82">
        <f>'2º TRIMESTRE'!F12</f>
        <v>0</v>
      </c>
      <c r="G12" s="15" t="str">
        <f>'2º TRIMESTRE'!G12</f>
        <v>03.834.750/0001-57</v>
      </c>
      <c r="H12" s="14" t="str">
        <f>'2º TRIMESTRE'!H12</f>
        <v>EIP SERVICOS DE ILUMINACAO LTDA</v>
      </c>
      <c r="I12" s="15" t="str">
        <f>'2º TRIMESTRE'!I12</f>
        <v>6-004/21</v>
      </c>
      <c r="J12" s="52">
        <f>'2º TRIMESTRE'!J12</f>
        <v>44270</v>
      </c>
      <c r="K12" s="15">
        <f>'2º TRIMESTRE'!K12</f>
        <v>790</v>
      </c>
      <c r="L12" s="82">
        <f>'2º TRIMESTRE'!L12</f>
        <v>1459741.65</v>
      </c>
      <c r="M12" s="52">
        <f t="shared" si="0"/>
        <v>45150</v>
      </c>
      <c r="N12" s="15">
        <f>'2º TRIMESTRE'!N12+90</f>
        <v>90</v>
      </c>
      <c r="O12" s="82">
        <f>'2º TRIMESTRE'!O12+1379950.35</f>
        <v>1651864.21</v>
      </c>
      <c r="P12" s="82">
        <f>'2º TRIMESTRE'!P12</f>
        <v>0</v>
      </c>
      <c r="Q12" s="15" t="str">
        <f>'2º TRIMESTRE'!Q12</f>
        <v>3.3.90.39</v>
      </c>
      <c r="R12" s="82">
        <f>'2º TRIMESTRE'!R12+1379950.35</f>
        <v>2160341.0300000003</v>
      </c>
      <c r="S12" s="82">
        <v>919966.9</v>
      </c>
      <c r="T12" s="82">
        <f>'2º TRIMESTRE'!T12+S12</f>
        <v>1047841.1</v>
      </c>
      <c r="U12" s="82" t="e">
        <f>'2º TRIMESTRE'!U12+S12</f>
        <v>#REF!</v>
      </c>
      <c r="V12" s="15" t="str">
        <f>'2º TRIMESTRE'!V12</f>
        <v>andamento</v>
      </c>
      <c r="W12" s="45"/>
    </row>
    <row r="13" spans="1:43" ht="64.3">
      <c r="A13" s="14" t="str">
        <f>'2º TRIMESTRE'!A13</f>
        <v>CONCORRÊNCIA / nº 14/2020</v>
      </c>
      <c r="B13" s="14" t="str">
        <f>'2º TRIMESTRE'!B13</f>
        <v>CONTRATACAO DE EMPRESA DE ENGENHARIA PARA REALIZACAO DE MANUTENCAO PREVENTIVA E CORRETIVA DO SISTEMA DE ILUMINACAO PUBLICA CONVENCIONAL DAS RPAS DO MUNICIPIO DO RECIFE. EM POSTES COM ATE 12 METROS DE ALTURA LOTE II RPA 2 E 3</v>
      </c>
      <c r="C13" s="14">
        <f>'2º TRIMESTRE'!C13</f>
        <v>0</v>
      </c>
      <c r="D13" s="14">
        <f>'2º TRIMESTRE'!D13</f>
        <v>0</v>
      </c>
      <c r="E13" s="82">
        <f>'2º TRIMESTRE'!E13</f>
        <v>0</v>
      </c>
      <c r="F13" s="82">
        <f>'2º TRIMESTRE'!F13</f>
        <v>0</v>
      </c>
      <c r="G13" s="15" t="str">
        <f>'2º TRIMESTRE'!G13</f>
        <v>03.834.750/0001-57</v>
      </c>
      <c r="H13" s="14" t="str">
        <f>'2º TRIMESTRE'!H13</f>
        <v>EIP SERVICOS DE ILUMINACAO LTDA</v>
      </c>
      <c r="I13" s="15" t="str">
        <f>'2º TRIMESTRE'!I13</f>
        <v>6-005/21</v>
      </c>
      <c r="J13" s="52">
        <f>'2º TRIMESTRE'!J13</f>
        <v>44270</v>
      </c>
      <c r="K13" s="15">
        <f>'2º TRIMESTRE'!K13</f>
        <v>790</v>
      </c>
      <c r="L13" s="82">
        <f>'2º TRIMESTRE'!L13</f>
        <v>1589764.85</v>
      </c>
      <c r="M13" s="52">
        <f t="shared" si="0"/>
        <v>45060</v>
      </c>
      <c r="N13" s="15">
        <f>'2º TRIMESTRE'!N13</f>
        <v>0</v>
      </c>
      <c r="O13" s="82">
        <f>'2º TRIMESTRE'!O13</f>
        <v>337768.38</v>
      </c>
      <c r="P13" s="82">
        <f>'2º TRIMESTRE'!P13</f>
        <v>0</v>
      </c>
      <c r="Q13" s="15" t="str">
        <f>'2º TRIMESTRE'!Q13</f>
        <v>3.3.90.39</v>
      </c>
      <c r="R13" s="82">
        <f>'2º TRIMESTRE'!R13</f>
        <v>765439.27</v>
      </c>
      <c r="S13" s="82">
        <v>0</v>
      </c>
      <c r="T13" s="82">
        <f>'2º TRIMESTRE'!T13+S13</f>
        <v>129293.64</v>
      </c>
      <c r="U13" s="82" t="e">
        <f>'2º TRIMESTRE'!U13+S13</f>
        <v>#REF!</v>
      </c>
      <c r="V13" s="15" t="str">
        <f>'2º TRIMESTRE'!V13</f>
        <v>andamento</v>
      </c>
      <c r="W13" s="45"/>
    </row>
    <row r="14" spans="1:43" ht="53.6">
      <c r="A14" s="14" t="str">
        <f>'2º TRIMESTRE'!A14</f>
        <v>CONCORRÊNCIA / nº 14/2020</v>
      </c>
      <c r="B14" s="14" t="str">
        <f>'2º TRIMESTRE'!B14</f>
        <v>CONTRATAÇÃO DE EMPRESA DE ENGENHARIA PARA REALIZAÇÃO DE MANUTENÇÃO PREVENTIVA E CORRETIVA DO SISTEMA DE ILUMINAÇÃO PUBLICA CONVENCIONAL DAS RPAS DO RECIFE LOTE III RPA  4 E 5</v>
      </c>
      <c r="C14" s="14">
        <f>'2º TRIMESTRE'!C14</f>
        <v>0</v>
      </c>
      <c r="D14" s="14">
        <f>'2º TRIMESTRE'!D14</f>
        <v>0</v>
      </c>
      <c r="E14" s="82">
        <f>'2º TRIMESTRE'!E14</f>
        <v>0</v>
      </c>
      <c r="F14" s="82">
        <f>'2º TRIMESTRE'!F14</f>
        <v>0</v>
      </c>
      <c r="G14" s="15" t="str">
        <f>'2º TRIMESTRE'!G14</f>
        <v>03.834.750/0001-57</v>
      </c>
      <c r="H14" s="14" t="str">
        <f>'2º TRIMESTRE'!H14</f>
        <v>EIP SERVICOS DE ILUMINACAO LTDA</v>
      </c>
      <c r="I14" s="15" t="str">
        <f>'2º TRIMESTRE'!I14</f>
        <v>6-006/21</v>
      </c>
      <c r="J14" s="52">
        <f>'2º TRIMESTRE'!J14</f>
        <v>44270</v>
      </c>
      <c r="K14" s="15">
        <f>'2º TRIMESTRE'!K14</f>
        <v>790</v>
      </c>
      <c r="L14" s="82">
        <f>'2º TRIMESTRE'!L14</f>
        <v>1435226.94</v>
      </c>
      <c r="M14" s="52">
        <f t="shared" si="0"/>
        <v>45060</v>
      </c>
      <c r="N14" s="15">
        <f>'2º TRIMESTRE'!N14</f>
        <v>0</v>
      </c>
      <c r="O14" s="82">
        <f>'2º TRIMESTRE'!O14</f>
        <v>341654.57999999996</v>
      </c>
      <c r="P14" s="82">
        <f>'2º TRIMESTRE'!P14</f>
        <v>0</v>
      </c>
      <c r="Q14" s="15" t="str">
        <f>'2º TRIMESTRE'!Q14</f>
        <v>3.3.90.39</v>
      </c>
      <c r="R14" s="82">
        <f>'2º TRIMESTRE'!R14+359282.73</f>
        <v>1120634.3599999999</v>
      </c>
      <c r="S14" s="82">
        <v>382116.05</v>
      </c>
      <c r="T14" s="82">
        <f>'2º TRIMESTRE'!T14+S14</f>
        <v>582314.69999999995</v>
      </c>
      <c r="U14" s="82" t="e">
        <f>'2º TRIMESTRE'!U14+S14</f>
        <v>#REF!</v>
      </c>
      <c r="V14" s="15" t="str">
        <f>'2º TRIMESTRE'!V14</f>
        <v>andamento</v>
      </c>
      <c r="W14" s="45"/>
    </row>
    <row r="15" spans="1:43" ht="42.9">
      <c r="A15" s="14" t="str">
        <f>'2º TRIMESTRE'!A15</f>
        <v>CONCORRÊNCIA / nº 17/2020</v>
      </c>
      <c r="B15" s="14" t="str">
        <f>'2º TRIMESTRE'!B15</f>
        <v>CONTRATACAO DOS SERVICOS DE MANUTENCAO E RECUPERACAO DA PAVIMENTACAO NAS VIAS EM PARALELEPIPEDOS CONSTITUINTES DO SISTEMA VIARIO DA CIDADE DO RECIFE. LOTE I - RPA 1</v>
      </c>
      <c r="C15" s="14">
        <f>'2º TRIMESTRE'!C15</f>
        <v>0</v>
      </c>
      <c r="D15" s="14">
        <f>'2º TRIMESTRE'!D15</f>
        <v>0</v>
      </c>
      <c r="E15" s="82">
        <f>'2º TRIMESTRE'!E15</f>
        <v>0</v>
      </c>
      <c r="F15" s="82">
        <f>'2º TRIMESTRE'!F15</f>
        <v>0</v>
      </c>
      <c r="G15" s="15" t="str">
        <f>'2º TRIMESTRE'!G15</f>
        <v>10.811.370/0001-62</v>
      </c>
      <c r="H15" s="14" t="str">
        <f>'2º TRIMESTRE'!H15</f>
        <v>GUERRA CONSTRUCOES LTDA</v>
      </c>
      <c r="I15" s="15" t="str">
        <f>'2º TRIMESTRE'!I15</f>
        <v>6-007/21</v>
      </c>
      <c r="J15" s="52">
        <f>'2º TRIMESTRE'!J15</f>
        <v>44285</v>
      </c>
      <c r="K15" s="15">
        <f>'2º TRIMESTRE'!K15</f>
        <v>760</v>
      </c>
      <c r="L15" s="82">
        <f>'2º TRIMESTRE'!L15</f>
        <v>4242714.5</v>
      </c>
      <c r="M15" s="52">
        <f t="shared" si="0"/>
        <v>45045</v>
      </c>
      <c r="N15" s="15">
        <f>'2º TRIMESTRE'!N15</f>
        <v>0</v>
      </c>
      <c r="O15" s="82">
        <f>'2º TRIMESTRE'!O15</f>
        <v>0</v>
      </c>
      <c r="P15" s="82">
        <f>'2º TRIMESTRE'!P15</f>
        <v>0</v>
      </c>
      <c r="Q15" s="15" t="str">
        <f>'2º TRIMESTRE'!Q15</f>
        <v>3.3.90.39</v>
      </c>
      <c r="R15" s="82">
        <f>'2º TRIMESTRE'!R15</f>
        <v>629610.96</v>
      </c>
      <c r="S15" s="82">
        <v>0</v>
      </c>
      <c r="T15" s="82">
        <f>'2º TRIMESTRE'!T15+S15</f>
        <v>0</v>
      </c>
      <c r="U15" s="82" t="e">
        <f>'2º TRIMESTRE'!U15+S15</f>
        <v>#REF!</v>
      </c>
      <c r="V15" s="15" t="str">
        <f>'2º TRIMESTRE'!V15</f>
        <v>andamento</v>
      </c>
      <c r="W15" s="45"/>
    </row>
    <row r="16" spans="1:43" ht="42.9">
      <c r="A16" s="14" t="str">
        <f>'2º TRIMESTRE'!A16</f>
        <v>CONCORRÊNCIA / nº 17/2020</v>
      </c>
      <c r="B16" s="14" t="str">
        <f>'2º TRIMESTRE'!B16</f>
        <v>CONTRATACAO DOS SERVICOS DE MANUTENCAO E RECUPERACAO DA PAVIMENTACAO NAS VIAS EM PARALELEPIPEDOS CONSTITUINTES DO SISTEMA VIARIO DA CIDADE DO RECIFE. LOTES II - RPA 2 E 3</v>
      </c>
      <c r="C16" s="14">
        <f>'2º TRIMESTRE'!C16</f>
        <v>0</v>
      </c>
      <c r="D16" s="14">
        <f>'2º TRIMESTRE'!D16</f>
        <v>0</v>
      </c>
      <c r="E16" s="82">
        <f>'2º TRIMESTRE'!E16</f>
        <v>0</v>
      </c>
      <c r="F16" s="82">
        <f>'2º TRIMESTRE'!F16</f>
        <v>0</v>
      </c>
      <c r="G16" s="15" t="str">
        <f>'2º TRIMESTRE'!G16</f>
        <v>07.086.088/0001-55</v>
      </c>
      <c r="H16" s="14" t="str">
        <f>'2º TRIMESTRE'!H16</f>
        <v>SOLO CONSTRUCOES E TERRAPLANAGEM LTDA</v>
      </c>
      <c r="I16" s="15" t="str">
        <f>'2º TRIMESTRE'!I16</f>
        <v>6-008/21</v>
      </c>
      <c r="J16" s="52">
        <f>'2º TRIMESTRE'!J16</f>
        <v>44285</v>
      </c>
      <c r="K16" s="15">
        <f>'2º TRIMESTRE'!K16</f>
        <v>760</v>
      </c>
      <c r="L16" s="82">
        <f>'2º TRIMESTRE'!L16</f>
        <v>5068725.74</v>
      </c>
      <c r="M16" s="52">
        <f t="shared" si="0"/>
        <v>45045</v>
      </c>
      <c r="N16" s="15">
        <f>'2º TRIMESTRE'!N16</f>
        <v>0</v>
      </c>
      <c r="O16" s="82">
        <f>'2º TRIMESTRE'!O16</f>
        <v>0</v>
      </c>
      <c r="P16" s="82">
        <f>'2º TRIMESTRE'!P16</f>
        <v>765001.36</v>
      </c>
      <c r="Q16" s="15" t="str">
        <f>'2º TRIMESTRE'!Q16</f>
        <v>3.3.90.39</v>
      </c>
      <c r="R16" s="82">
        <f>'2º TRIMESTRE'!R16+150556.32</f>
        <v>1404838.58</v>
      </c>
      <c r="S16" s="82">
        <v>845261.53</v>
      </c>
      <c r="T16" s="82">
        <f>'2º TRIMESTRE'!T16+S16</f>
        <v>884464.06</v>
      </c>
      <c r="U16" s="82" t="e">
        <f>'2º TRIMESTRE'!U16+S16</f>
        <v>#REF!</v>
      </c>
      <c r="V16" s="15" t="str">
        <f>'2º TRIMESTRE'!V16</f>
        <v>andamento</v>
      </c>
      <c r="W16" s="45"/>
    </row>
    <row r="17" spans="1:23" ht="53.6">
      <c r="A17" s="14" t="str">
        <f>'2º TRIMESTRE'!A17</f>
        <v>concorrência /nº 17/2020</v>
      </c>
      <c r="B17" s="14" t="str">
        <f>'2º TRIMESTRE'!B17</f>
        <v>CONTRATACAO DOS SERVICOS DE MANUTENCAO E RECUPERACAO DA PAVIMENTACAO NAS VIAS EM PARALELEPIPEDOS CONSTITUINTES DO SISTEMA VIARIO DA CIDADE DO RECIFE. LOTES III - RPA 4 E 5</v>
      </c>
      <c r="C17" s="14">
        <f>'2º TRIMESTRE'!C17</f>
        <v>0</v>
      </c>
      <c r="D17" s="14">
        <f>'2º TRIMESTRE'!D17</f>
        <v>0</v>
      </c>
      <c r="E17" s="82">
        <f>'2º TRIMESTRE'!E17</f>
        <v>0</v>
      </c>
      <c r="F17" s="82">
        <f>'2º TRIMESTRE'!F17</f>
        <v>0</v>
      </c>
      <c r="G17" s="15" t="str">
        <f>'2º TRIMESTRE'!G17</f>
        <v>05.625.079/0001-60</v>
      </c>
      <c r="H17" s="14" t="str">
        <f>'2º TRIMESTRE'!H17</f>
        <v xml:space="preserve">CONSTRUTORA MARDIFI LTDA - EPP </v>
      </c>
      <c r="I17" s="15" t="str">
        <f>'2º TRIMESTRE'!I17</f>
        <v>6-009/21</v>
      </c>
      <c r="J17" s="52">
        <f>'2º TRIMESTRE'!J17</f>
        <v>44285</v>
      </c>
      <c r="K17" s="15">
        <f>'2º TRIMESTRE'!K17</f>
        <v>760</v>
      </c>
      <c r="L17" s="82">
        <f>'2º TRIMESTRE'!L17</f>
        <v>7317745.6200000001</v>
      </c>
      <c r="M17" s="52">
        <f t="shared" si="0"/>
        <v>45410</v>
      </c>
      <c r="N17" s="15">
        <f>'2º TRIMESTRE'!N17+365</f>
        <v>365</v>
      </c>
      <c r="O17" s="82">
        <f>'2º TRIMESTRE'!O17+17385983.25</f>
        <v>17518965.949999999</v>
      </c>
      <c r="P17" s="82">
        <f>'2º TRIMESTRE'!P17</f>
        <v>1257436.68</v>
      </c>
      <c r="Q17" s="15" t="str">
        <f>'2º TRIMESTRE'!Q17</f>
        <v>3.3.90.39</v>
      </c>
      <c r="R17" s="82">
        <f>'2º TRIMESTRE'!R17+2709108.04</f>
        <v>3610377.14</v>
      </c>
      <c r="S17" s="82">
        <v>2709108.04</v>
      </c>
      <c r="T17" s="82">
        <f>'2º TRIMESTRE'!T17+S17</f>
        <v>2709108.04</v>
      </c>
      <c r="U17" s="82" t="e">
        <f>'2º TRIMESTRE'!U17+S17</f>
        <v>#REF!</v>
      </c>
      <c r="V17" s="15" t="str">
        <f>'2º TRIMESTRE'!V17</f>
        <v>andamento</v>
      </c>
      <c r="W17" s="45"/>
    </row>
    <row r="18" spans="1:23" ht="42.9">
      <c r="A18" s="14" t="str">
        <f>'2º TRIMESTRE'!A18</f>
        <v>concorrência /nº 17/2020</v>
      </c>
      <c r="B18" s="14" t="str">
        <f>'2º TRIMESTRE'!B18</f>
        <v>CONTRATACAO DOS SERVICOS DE MANUTENCAO E RECUPERACAO DA PAVIMENTACAO NAS VIAS EM PARALELEPIPEDOS CONSTITUINTES DO SISTEMA VIARIO DA CIDADE DO RECIFE. LOTES IV. - RPA 06</v>
      </c>
      <c r="C18" s="14">
        <f>'2º TRIMESTRE'!C18</f>
        <v>0</v>
      </c>
      <c r="D18" s="14">
        <f>'2º TRIMESTRE'!D18</f>
        <v>0</v>
      </c>
      <c r="E18" s="82">
        <f>'2º TRIMESTRE'!E18</f>
        <v>0</v>
      </c>
      <c r="F18" s="82">
        <f>'2º TRIMESTRE'!F18</f>
        <v>0</v>
      </c>
      <c r="G18" s="15" t="str">
        <f>'2º TRIMESTRE'!G18</f>
        <v>10.811.370/0001-62</v>
      </c>
      <c r="H18" s="14" t="str">
        <f>'2º TRIMESTRE'!H18</f>
        <v>GUERRA CONSTRUCOES LTDA</v>
      </c>
      <c r="I18" s="15" t="str">
        <f>'2º TRIMESTRE'!I18</f>
        <v>6-010/21</v>
      </c>
      <c r="J18" s="52">
        <f>'2º TRIMESTRE'!J18</f>
        <v>44285</v>
      </c>
      <c r="K18" s="15">
        <f>'2º TRIMESTRE'!K18</f>
        <v>760</v>
      </c>
      <c r="L18" s="82">
        <f>'2º TRIMESTRE'!L18</f>
        <v>6534905.3499999996</v>
      </c>
      <c r="M18" s="52">
        <f t="shared" si="0"/>
        <v>45045</v>
      </c>
      <c r="N18" s="15">
        <f>'2º TRIMESTRE'!N18</f>
        <v>0</v>
      </c>
      <c r="O18" s="82">
        <f>'2º TRIMESTRE'!O18</f>
        <v>0</v>
      </c>
      <c r="P18" s="82">
        <f>'2º TRIMESTRE'!P18</f>
        <v>0</v>
      </c>
      <c r="Q18" s="15" t="str">
        <f>'2º TRIMESTRE'!Q18</f>
        <v>3.3.90.39</v>
      </c>
      <c r="R18" s="82">
        <f>'2º TRIMESTRE'!R18</f>
        <v>1928911.7999999998</v>
      </c>
      <c r="S18" s="82">
        <v>0</v>
      </c>
      <c r="T18" s="82">
        <f>'2º TRIMESTRE'!T18+S18</f>
        <v>326655.13</v>
      </c>
      <c r="U18" s="82" t="e">
        <f>'2º TRIMESTRE'!U18+S18</f>
        <v>#REF!</v>
      </c>
      <c r="V18" s="15" t="str">
        <f>'2º TRIMESTRE'!V18</f>
        <v>andamento</v>
      </c>
      <c r="W18" s="45"/>
    </row>
    <row r="19" spans="1:23" ht="42.9">
      <c r="A19" s="14" t="str">
        <f>'2º TRIMESTRE'!A19</f>
        <v>INEX 9/2021</v>
      </c>
      <c r="B19" s="14" t="str">
        <f>'2º TRIMESTRE'!B19</f>
        <v>CONTRATACAO DOS SERVICOS DE MANUTENCAO PREVENTIVA DO SISTEMA DE MACRODRENAGEM PELO PROCESSO DE BARRAGEM MOVEL EM DIVERSOS CANAIS DA CIDADE DO RECIFE</v>
      </c>
      <c r="C19" s="14">
        <f>'2º TRIMESTRE'!C19</f>
        <v>0</v>
      </c>
      <c r="D19" s="14">
        <f>'2º TRIMESTRE'!D19</f>
        <v>0</v>
      </c>
      <c r="E19" s="82">
        <f>'2º TRIMESTRE'!E19</f>
        <v>0</v>
      </c>
      <c r="F19" s="82">
        <f>'2º TRIMESTRE'!F19</f>
        <v>0</v>
      </c>
      <c r="G19" s="15" t="str">
        <f>'2º TRIMESTRE'!G19</f>
        <v>03.366.083/0001-25</v>
      </c>
      <c r="H19" s="14" t="str">
        <f>'2º TRIMESTRE'!H19</f>
        <v>HIDROMAX CONSTRUÇOES LTDA</v>
      </c>
      <c r="I19" s="15" t="str">
        <f>'2º TRIMESTRE'!I19</f>
        <v>6-012/21</v>
      </c>
      <c r="J19" s="52">
        <f>'2º TRIMESTRE'!J19</f>
        <v>44354</v>
      </c>
      <c r="K19" s="15">
        <f>'2º TRIMESTRE'!K19</f>
        <v>760</v>
      </c>
      <c r="L19" s="82">
        <f>'2º TRIMESTRE'!L19</f>
        <v>1940544.76</v>
      </c>
      <c r="M19" s="52">
        <f t="shared" si="0"/>
        <v>45114</v>
      </c>
      <c r="N19" s="15">
        <f>'2º TRIMESTRE'!N19</f>
        <v>0</v>
      </c>
      <c r="O19" s="82">
        <f>'2º TRIMESTRE'!O19</f>
        <v>27154</v>
      </c>
      <c r="P19" s="82">
        <f>'2º TRIMESTRE'!P19</f>
        <v>0</v>
      </c>
      <c r="Q19" s="15" t="str">
        <f>'2º TRIMESTRE'!Q19</f>
        <v>3.3.90.39</v>
      </c>
      <c r="R19" s="82">
        <f>'2º TRIMESTRE'!R19+71764.8</f>
        <v>602193.14</v>
      </c>
      <c r="S19" s="82">
        <v>71764.800000000003</v>
      </c>
      <c r="T19" s="82">
        <f>'2º TRIMESTRE'!T19+S19</f>
        <v>267351.63</v>
      </c>
      <c r="U19" s="82" t="e">
        <f>'2º TRIMESTRE'!U19+S19</f>
        <v>#REF!</v>
      </c>
      <c r="V19" s="15" t="str">
        <f>'2º TRIMESTRE'!V19</f>
        <v>andamento</v>
      </c>
      <c r="W19" s="45"/>
    </row>
    <row r="20" spans="1:23" ht="42.9">
      <c r="A20" s="14" t="str">
        <f>'2º TRIMESTRE'!A20</f>
        <v> PREGÃO PRESENCIAL Licitação: 4/2017</v>
      </c>
      <c r="B20" s="14" t="str">
        <f>'2º TRIMESTRE'!B20</f>
        <v>SERVIÇOS ESPECIALIZADOS DE ENGENHARIA AGRONÔMICA COM SERVIÇOS DE MANUTENÇÃO DE ARBORETO, PARQUES, PRAÇAS E DEMAIS ÁREAS VERDES</v>
      </c>
      <c r="C20" s="14">
        <f>'2º TRIMESTRE'!C20</f>
        <v>0</v>
      </c>
      <c r="D20" s="14">
        <f>'2º TRIMESTRE'!D20</f>
        <v>0</v>
      </c>
      <c r="E20" s="82">
        <f>'2º TRIMESTRE'!E20</f>
        <v>0</v>
      </c>
      <c r="F20" s="82">
        <f>'2º TRIMESTRE'!F20</f>
        <v>0</v>
      </c>
      <c r="G20" s="15" t="str">
        <f>'2º TRIMESTRE'!G20</f>
        <v>00.449.936/0001-02</v>
      </c>
      <c r="H20" s="14" t="str">
        <f>'2º TRIMESTRE'!H20</f>
        <v>ENGEMAIA E CIA LTDA</v>
      </c>
      <c r="I20" s="15" t="str">
        <f>'2º TRIMESTRE'!I20</f>
        <v>6-013/17</v>
      </c>
      <c r="J20" s="52">
        <f>'2º TRIMESTRE'!J20</f>
        <v>42940</v>
      </c>
      <c r="K20" s="15">
        <f>'2º TRIMESTRE'!K20</f>
        <v>365</v>
      </c>
      <c r="L20" s="82">
        <f>'2º TRIMESTRE'!L20</f>
        <v>11944999.92</v>
      </c>
      <c r="M20" s="52">
        <f t="shared" si="0"/>
        <v>44765</v>
      </c>
      <c r="N20" s="15">
        <f>'2º TRIMESTRE'!N20</f>
        <v>1460</v>
      </c>
      <c r="O20" s="82">
        <f>'2º TRIMESTRE'!O20</f>
        <v>60684020.43</v>
      </c>
      <c r="P20" s="82">
        <f>'2º TRIMESTRE'!P20</f>
        <v>1492079.88</v>
      </c>
      <c r="Q20" s="15" t="str">
        <f>'2º TRIMESTRE'!Q20</f>
        <v>3.3.90.39</v>
      </c>
      <c r="R20" s="82">
        <f>'2º TRIMESTRE'!R20</f>
        <v>43354359.949999996</v>
      </c>
      <c r="S20" s="82">
        <v>0</v>
      </c>
      <c r="T20" s="82">
        <f>'2º TRIMESTRE'!T20+S20</f>
        <v>2498941.87</v>
      </c>
      <c r="U20" s="82" t="e">
        <f>'2º TRIMESTRE'!U20+S20</f>
        <v>#REF!</v>
      </c>
      <c r="V20" s="15" t="str">
        <f>'2º TRIMESTRE'!V20</f>
        <v>andamento</v>
      </c>
      <c r="W20" s="45"/>
    </row>
    <row r="21" spans="1:23" ht="32.15">
      <c r="A21" s="14" t="str">
        <f>'2º TRIMESTRE'!A21</f>
        <v>TOMADA DE PREÇOS Licitação: 1/2020</v>
      </c>
      <c r="B21" s="14" t="str">
        <f>'2º TRIMESTRE'!B21</f>
        <v>PRESTAÇÃO DE SERVIÇO DE MANUTENÇÃO E RECUPERAÇÃO AMBIENTAL DO ATERRO CONTROLADO DA MURIBECA</v>
      </c>
      <c r="C21" s="14">
        <f>'2º TRIMESTRE'!C21</f>
        <v>0</v>
      </c>
      <c r="D21" s="14">
        <f>'2º TRIMESTRE'!D21</f>
        <v>0</v>
      </c>
      <c r="E21" s="82">
        <f>'2º TRIMESTRE'!E21</f>
        <v>0</v>
      </c>
      <c r="F21" s="82">
        <f>'2º TRIMESTRE'!F21</f>
        <v>0</v>
      </c>
      <c r="G21" s="15" t="str">
        <f>'2º TRIMESTRE'!G21</f>
        <v>07.693.988/0001-60</v>
      </c>
      <c r="H21" s="14" t="str">
        <f>'2º TRIMESTRE'!H21</f>
        <v>F R F ENGENHARIA LTDA</v>
      </c>
      <c r="I21" s="15" t="str">
        <f>'2º TRIMESTRE'!I21</f>
        <v>6-013/20</v>
      </c>
      <c r="J21" s="52">
        <f>'2º TRIMESTRE'!J21</f>
        <v>44007</v>
      </c>
      <c r="K21" s="15">
        <f>'2º TRIMESTRE'!K21</f>
        <v>760</v>
      </c>
      <c r="L21" s="82">
        <f>'2º TRIMESTRE'!L21</f>
        <v>1152030.3799999999</v>
      </c>
      <c r="M21" s="52">
        <f t="shared" si="0"/>
        <v>44767</v>
      </c>
      <c r="N21" s="15">
        <f>'2º TRIMESTRE'!N21</f>
        <v>0</v>
      </c>
      <c r="O21" s="82">
        <f>'2º TRIMESTRE'!O21</f>
        <v>0</v>
      </c>
      <c r="P21" s="82">
        <f>'2º TRIMESTRE'!P21</f>
        <v>0</v>
      </c>
      <c r="Q21" s="15" t="str">
        <f>'2º TRIMESTRE'!Q21</f>
        <v>3.3.90.39</v>
      </c>
      <c r="R21" s="82">
        <f>'2º TRIMESTRE'!R21</f>
        <v>759661.24</v>
      </c>
      <c r="S21" s="82">
        <v>0</v>
      </c>
      <c r="T21" s="82">
        <f>'2º TRIMESTRE'!T21+S21</f>
        <v>90735.72</v>
      </c>
      <c r="U21" s="82" t="e">
        <f>'2º TRIMESTRE'!U21+S21</f>
        <v>#REF!</v>
      </c>
      <c r="V21" s="15" t="str">
        <f>'2º TRIMESTRE'!V21</f>
        <v>andamento</v>
      </c>
      <c r="W21" s="45"/>
    </row>
    <row r="22" spans="1:23" ht="53.6">
      <c r="A22" s="14" t="str">
        <f>'2º TRIMESTRE'!A22</f>
        <v>concorrência /nº 001/2021</v>
      </c>
      <c r="B22" s="14" t="str">
        <f>'2º TRIMESTRE'!B22</f>
        <v>CONTRATACAO DE EMPRESA DE ENGENHARIA ESPECIALIZADA. PARA A OPERACAO. AUTOMACAO E MANUTENCAO ELETRICA E MECANICA DAS ESTACOES DE BOMBEAMENTO E COMPORTAS DA CIDADE DO RECIFE</v>
      </c>
      <c r="C22" s="14">
        <f>'2º TRIMESTRE'!C22</f>
        <v>0</v>
      </c>
      <c r="D22" s="14">
        <f>'2º TRIMESTRE'!D22</f>
        <v>0</v>
      </c>
      <c r="E22" s="82">
        <f>'2º TRIMESTRE'!E22</f>
        <v>0</v>
      </c>
      <c r="F22" s="82">
        <f>'2º TRIMESTRE'!F22</f>
        <v>0</v>
      </c>
      <c r="G22" s="15" t="str">
        <f>'2º TRIMESTRE'!G22</f>
        <v>41.116.138/0001-38</v>
      </c>
      <c r="H22" s="14" t="str">
        <f>'2º TRIMESTRE'!H22</f>
        <v>REAL ENERGY LTDA</v>
      </c>
      <c r="I22" s="15" t="str">
        <f>'2º TRIMESTRE'!I22</f>
        <v>6-014/21</v>
      </c>
      <c r="J22" s="52">
        <f>'2º TRIMESTRE'!J22</f>
        <v>44347</v>
      </c>
      <c r="K22" s="15">
        <f>'2º TRIMESTRE'!K22</f>
        <v>790</v>
      </c>
      <c r="L22" s="82">
        <f>'2º TRIMESTRE'!L22</f>
        <v>3652773.14</v>
      </c>
      <c r="M22" s="52">
        <f t="shared" si="0"/>
        <v>45137</v>
      </c>
      <c r="N22" s="15">
        <f>'2º TRIMESTRE'!N22</f>
        <v>0</v>
      </c>
      <c r="O22" s="82">
        <f>'2º TRIMESTRE'!O22</f>
        <v>0</v>
      </c>
      <c r="P22" s="82">
        <f>'2º TRIMESTRE'!P22</f>
        <v>0</v>
      </c>
      <c r="Q22" s="15" t="str">
        <f>'2º TRIMESTRE'!Q22</f>
        <v>3.3.90.39</v>
      </c>
      <c r="R22" s="82">
        <f>'2º TRIMESTRE'!R22</f>
        <v>1031327.5900000001</v>
      </c>
      <c r="S22" s="82">
        <v>21008.79</v>
      </c>
      <c r="T22" s="82">
        <f>'2º TRIMESTRE'!T22+S22</f>
        <v>314984</v>
      </c>
      <c r="U22" s="82" t="e">
        <f>'2º TRIMESTRE'!U22+S22</f>
        <v>#REF!</v>
      </c>
      <c r="V22" s="15" t="str">
        <f>'2º TRIMESTRE'!V22</f>
        <v>andamento</v>
      </c>
      <c r="W22" s="45"/>
    </row>
    <row r="23" spans="1:23" ht="32.15">
      <c r="A23" s="14" t="str">
        <f>'2º TRIMESTRE'!A23</f>
        <v>CONCORRÊNCIA / nº 19/2019</v>
      </c>
      <c r="B23" s="14" t="str">
        <f>'2º TRIMESTRE'!B23</f>
        <v>SERVIÇO DE MANUTENÇÃO DO SISTEMA DE MICRODRENAGEM DE AGUAS PLUVIAIS EM TODAS AS RPAS DA CIDADE DO RECIFE - 04 E 05</v>
      </c>
      <c r="C23" s="14">
        <f>'2º TRIMESTRE'!C23</f>
        <v>0</v>
      </c>
      <c r="D23" s="14">
        <f>'2º TRIMESTRE'!D23</f>
        <v>0</v>
      </c>
      <c r="E23" s="82">
        <f>'2º TRIMESTRE'!E23</f>
        <v>0</v>
      </c>
      <c r="F23" s="82">
        <f>'2º TRIMESTRE'!F23</f>
        <v>0</v>
      </c>
      <c r="G23" s="15" t="str">
        <f>'2º TRIMESTRE'!G23</f>
        <v>01.514.128/0001-36</v>
      </c>
      <c r="H23" s="14" t="str">
        <f>'2º TRIMESTRE'!H23</f>
        <v>SCAVE SERVICOS DE ENGENHARIA E LOCACAO LTDA</v>
      </c>
      <c r="I23" s="15" t="str">
        <f>'2º TRIMESTRE'!I23</f>
        <v>6-015/20</v>
      </c>
      <c r="J23" s="52">
        <f>'2º TRIMESTRE'!J23</f>
        <v>43997</v>
      </c>
      <c r="K23" s="15">
        <f>'2º TRIMESTRE'!K23</f>
        <v>1125</v>
      </c>
      <c r="L23" s="82">
        <f>'2º TRIMESTRE'!L23</f>
        <v>17094320.969999999</v>
      </c>
      <c r="M23" s="52">
        <f t="shared" si="0"/>
        <v>45122</v>
      </c>
      <c r="N23" s="15">
        <f>'2º TRIMESTRE'!N23</f>
        <v>0</v>
      </c>
      <c r="O23" s="82">
        <f>'2º TRIMESTRE'!O23+1277044.42</f>
        <v>4288472.12</v>
      </c>
      <c r="P23" s="82">
        <f>'2º TRIMESTRE'!P23</f>
        <v>2353695.85</v>
      </c>
      <c r="Q23" s="15" t="str">
        <f>'2º TRIMESTRE'!Q23</f>
        <v>3.3.90.39</v>
      </c>
      <c r="R23" s="82">
        <f>'2º TRIMESTRE'!R23+1983530.55</f>
        <v>14354775.450000001</v>
      </c>
      <c r="S23" s="82">
        <v>1779188.39</v>
      </c>
      <c r="T23" s="82">
        <f>'2º TRIMESTRE'!T23+S23</f>
        <v>2452965.6799999997</v>
      </c>
      <c r="U23" s="82" t="e">
        <f>'2º TRIMESTRE'!U23+S23</f>
        <v>#REF!</v>
      </c>
      <c r="V23" s="15" t="str">
        <f>'2º TRIMESTRE'!V23</f>
        <v>andamento</v>
      </c>
      <c r="W23" s="45"/>
    </row>
    <row r="24" spans="1:23" ht="32.15">
      <c r="A24" s="14" t="str">
        <f>'2º TRIMESTRE'!A24</f>
        <v>concorrência /nº 015/2020</v>
      </c>
      <c r="B24" s="14" t="str">
        <f>'2º TRIMESTRE'!B24</f>
        <v>SERVIÇOS DE RECUPERAÇÃO DE VIAS URBANAS PAVIMENTAS EM CONCRETO DE CIMENTO PORTLAND EM TRECHOS DE VIAS NAS RPA'S 1 A 6</v>
      </c>
      <c r="C24" s="14">
        <f>'2º TRIMESTRE'!C24</f>
        <v>0</v>
      </c>
      <c r="D24" s="14">
        <f>'2º TRIMESTRE'!D24</f>
        <v>0</v>
      </c>
      <c r="E24" s="82">
        <f>'2º TRIMESTRE'!E24</f>
        <v>0</v>
      </c>
      <c r="F24" s="82">
        <f>'2º TRIMESTRE'!F24</f>
        <v>0</v>
      </c>
      <c r="G24" s="15" t="str">
        <f>'2º TRIMESTRE'!G24</f>
        <v>00.338.885/0001-33</v>
      </c>
      <c r="H24" s="14" t="str">
        <f>'2º TRIMESTRE'!H24</f>
        <v>NOVATEC CONSTRUCOES E EMPREENDIMENTOS LTDA</v>
      </c>
      <c r="I24" s="15" t="str">
        <f>'2º TRIMESTRE'!I24</f>
        <v>6-015/21</v>
      </c>
      <c r="J24" s="52">
        <f>'2º TRIMESTRE'!J24</f>
        <v>44363</v>
      </c>
      <c r="K24" s="15">
        <f>'2º TRIMESTRE'!K24</f>
        <v>790</v>
      </c>
      <c r="L24" s="82">
        <f>'2º TRIMESTRE'!L24</f>
        <v>8412130.0600000005</v>
      </c>
      <c r="M24" s="52">
        <f t="shared" si="0"/>
        <v>45153</v>
      </c>
      <c r="N24" s="15">
        <f>'2º TRIMESTRE'!N24</f>
        <v>0</v>
      </c>
      <c r="O24" s="82">
        <f>'2º TRIMESTRE'!O24</f>
        <v>0</v>
      </c>
      <c r="P24" s="82">
        <f>'2º TRIMESTRE'!P24</f>
        <v>0</v>
      </c>
      <c r="Q24" s="15" t="str">
        <f>'2º TRIMESTRE'!Q24</f>
        <v>3.3.90.39</v>
      </c>
      <c r="R24" s="82">
        <f>'2º TRIMESTRE'!R24</f>
        <v>2461731.2000000002</v>
      </c>
      <c r="S24" s="92">
        <v>0</v>
      </c>
      <c r="T24" s="82">
        <f>'2º TRIMESTRE'!T24+S24</f>
        <v>1002965.45</v>
      </c>
      <c r="U24" s="82" t="e">
        <f>'2º TRIMESTRE'!U24+S24</f>
        <v>#REF!</v>
      </c>
      <c r="V24" s="15" t="str">
        <f>'2º TRIMESTRE'!V24</f>
        <v>andamento</v>
      </c>
      <c r="W24" s="45"/>
    </row>
    <row r="25" spans="1:23" ht="32.15">
      <c r="A25" s="14" t="str">
        <f>'2º TRIMESTRE'!A25</f>
        <v>CONCORRÊNCIA / nº 19/2019</v>
      </c>
      <c r="B25" s="14" t="str">
        <f>'2º TRIMESTRE'!B25</f>
        <v>SERVIÇO DE MANUTENÇÃO DO SISTEMA DE MICRODRENAGEM DE AGUAS PLUVIAIS EM TODAS AS RPAS DO RECIFE - RPA 06</v>
      </c>
      <c r="C25" s="14">
        <f>'2º TRIMESTRE'!C25</f>
        <v>0</v>
      </c>
      <c r="D25" s="14">
        <f>'2º TRIMESTRE'!D25</f>
        <v>0</v>
      </c>
      <c r="E25" s="82">
        <f>'2º TRIMESTRE'!E25</f>
        <v>0</v>
      </c>
      <c r="F25" s="82">
        <f>'2º TRIMESTRE'!F25</f>
        <v>0</v>
      </c>
      <c r="G25" s="15" t="str">
        <f>'2º TRIMESTRE'!G25</f>
        <v>10.811.370/0001-62</v>
      </c>
      <c r="H25" s="14" t="str">
        <f>'2º TRIMESTRE'!H25</f>
        <v>GUERRA CONSTRUCOES LTDA</v>
      </c>
      <c r="I25" s="15" t="str">
        <f>'2º TRIMESTRE'!I25</f>
        <v>6-016/20</v>
      </c>
      <c r="J25" s="52">
        <f>'2º TRIMESTRE'!J25</f>
        <v>43997</v>
      </c>
      <c r="K25" s="15">
        <f>'2º TRIMESTRE'!K25</f>
        <v>1125</v>
      </c>
      <c r="L25" s="82">
        <f>'2º TRIMESTRE'!L25</f>
        <v>18840293.850000001</v>
      </c>
      <c r="M25" s="52">
        <f t="shared" si="0"/>
        <v>45122</v>
      </c>
      <c r="N25" s="15">
        <f>'2º TRIMESTRE'!N25</f>
        <v>0</v>
      </c>
      <c r="O25" s="82">
        <f>'2º TRIMESTRE'!O25</f>
        <v>3429757.7</v>
      </c>
      <c r="P25" s="82">
        <f>'2º TRIMESTRE'!P25</f>
        <v>2594739.9900000002</v>
      </c>
      <c r="Q25" s="15" t="str">
        <f>'2º TRIMESTRE'!Q25</f>
        <v>3.3.90.39</v>
      </c>
      <c r="R25" s="82">
        <f>'2º TRIMESTRE'!R25+1983869.68</f>
        <v>14820089.1</v>
      </c>
      <c r="S25" s="82">
        <v>1752727.7</v>
      </c>
      <c r="T25" s="82">
        <f>'2º TRIMESTRE'!T25+S25</f>
        <v>2983131.8899999997</v>
      </c>
      <c r="U25" s="82" t="e">
        <f>'2º TRIMESTRE'!U25+S25</f>
        <v>#REF!</v>
      </c>
      <c r="V25" s="15" t="str">
        <f>'2º TRIMESTRE'!V25</f>
        <v>andamento</v>
      </c>
      <c r="W25" s="45"/>
    </row>
    <row r="26" spans="1:23" ht="32.15">
      <c r="A26" s="14" t="str">
        <f>'2º TRIMESTRE'!A26</f>
        <v>CONCORRÊNCIA Licitação: 10/2018</v>
      </c>
      <c r="B26" s="14" t="str">
        <f>'2º TRIMESTRE'!B26</f>
        <v>SERVIÇOS DE MANUTENÇÃO PREVENTIVA DO SISTEMA DE MACRODRENAGEM EM TODAS AS RPA'S DA CIDADE DO RECIFE - RPA 01 E 06</v>
      </c>
      <c r="C26" s="14" t="str">
        <f>'2º TRIMESTRE'!C26</f>
        <v>495721/2018 e 535346/2020</v>
      </c>
      <c r="D26" s="14" t="str">
        <f>'2º TRIMESTRE'!D26</f>
        <v>FINISA</v>
      </c>
      <c r="E26" s="82">
        <f>'2º TRIMESTRE'!E26</f>
        <v>184899815.11999997</v>
      </c>
      <c r="F26" s="82">
        <f>'2º TRIMESTRE'!F26</f>
        <v>0</v>
      </c>
      <c r="G26" s="15" t="str">
        <f>'2º TRIMESTRE'!G26</f>
        <v>01.514.128/0001-36</v>
      </c>
      <c r="H26" s="14" t="str">
        <f>'2º TRIMESTRE'!H26</f>
        <v>SCAVE SERVICOS DE ENGENHARIA E LOCACAO LTDA</v>
      </c>
      <c r="I26" s="15" t="str">
        <f>'2º TRIMESTRE'!I26</f>
        <v>6-017/19</v>
      </c>
      <c r="J26" s="52">
        <f>'2º TRIMESTRE'!J26</f>
        <v>43571</v>
      </c>
      <c r="K26" s="15">
        <f>'2º TRIMESTRE'!K26</f>
        <v>1125</v>
      </c>
      <c r="L26" s="82">
        <f>'2º TRIMESTRE'!L26</f>
        <v>10309281.699999999</v>
      </c>
      <c r="M26" s="52">
        <f t="shared" si="0"/>
        <v>44696</v>
      </c>
      <c r="N26" s="15">
        <f>'2º TRIMESTRE'!N26</f>
        <v>0</v>
      </c>
      <c r="O26" s="82">
        <f>'2º TRIMESTRE'!O26</f>
        <v>0</v>
      </c>
      <c r="P26" s="82">
        <f>'2º TRIMESTRE'!P26</f>
        <v>2800566.42</v>
      </c>
      <c r="Q26" s="15" t="str">
        <f>'2º TRIMESTRE'!Q26</f>
        <v>4.4.90.39</v>
      </c>
      <c r="R26" s="82">
        <f>'2º TRIMESTRE'!R26+409841.19</f>
        <v>5797671.96</v>
      </c>
      <c r="S26" s="82">
        <v>295820.82</v>
      </c>
      <c r="T26" s="82">
        <f>'2º TRIMESTRE'!T26+S26</f>
        <v>719796.8</v>
      </c>
      <c r="U26" s="82" t="e">
        <f>'2º TRIMESTRE'!U26+S26</f>
        <v>#REF!</v>
      </c>
      <c r="V26" s="15" t="str">
        <f>'2º TRIMESTRE'!V26</f>
        <v>andamento</v>
      </c>
      <c r="W26" s="45"/>
    </row>
    <row r="27" spans="1:23" ht="32.15">
      <c r="A27" s="14" t="str">
        <f>'2º TRIMESTRE'!A27</f>
        <v>CONCORRÊNCIA Licitação: 10/2018</v>
      </c>
      <c r="B27" s="14" t="str">
        <f>'2º TRIMESTRE'!B27</f>
        <v>SERVIÇOS DE MANUTENÇÃO PREVENTIVA DO SISTEMA DE MACRODRENAGEM EM TODAS AS RPA'S DA CIDADE DO RECIFE - RPA 02 e 03</v>
      </c>
      <c r="C27" s="14" t="str">
        <f>'2º TRIMESTRE'!C27</f>
        <v>495721/2018 e 535346/2020</v>
      </c>
      <c r="D27" s="14" t="str">
        <f>'2º TRIMESTRE'!D27</f>
        <v>FINISA</v>
      </c>
      <c r="E27" s="82">
        <f>'2º TRIMESTRE'!E27</f>
        <v>184899815.11999997</v>
      </c>
      <c r="F27" s="82">
        <f>'2º TRIMESTRE'!F27</f>
        <v>0</v>
      </c>
      <c r="G27" s="15" t="str">
        <f>'2º TRIMESTRE'!G27</f>
        <v>01.514.128/0001-36</v>
      </c>
      <c r="H27" s="14" t="str">
        <f>'2º TRIMESTRE'!H27</f>
        <v>SCAVE SERVICOS DE ENGENHARIA E LOCACAO LTDA</v>
      </c>
      <c r="I27" s="15" t="str">
        <f>'2º TRIMESTRE'!I27</f>
        <v>6-018/19</v>
      </c>
      <c r="J27" s="52">
        <f>'2º TRIMESTRE'!J27</f>
        <v>43571</v>
      </c>
      <c r="K27" s="15">
        <f>'2º TRIMESTRE'!K27</f>
        <v>1125</v>
      </c>
      <c r="L27" s="82">
        <f>'2º TRIMESTRE'!L27</f>
        <v>11446659.060000001</v>
      </c>
      <c r="M27" s="52">
        <f t="shared" si="0"/>
        <v>44696</v>
      </c>
      <c r="N27" s="15">
        <f>'2º TRIMESTRE'!N27</f>
        <v>0</v>
      </c>
      <c r="O27" s="82">
        <f>'2º TRIMESTRE'!O27</f>
        <v>5430.8</v>
      </c>
      <c r="P27" s="82">
        <f>'2º TRIMESTRE'!P27</f>
        <v>1849376.19</v>
      </c>
      <c r="Q27" s="15" t="str">
        <f>'2º TRIMESTRE'!Q27</f>
        <v>4.4.90.39</v>
      </c>
      <c r="R27" s="82">
        <f>'2º TRIMESTRE'!R27</f>
        <v>5506715.7800000003</v>
      </c>
      <c r="S27" s="82">
        <v>57594.6</v>
      </c>
      <c r="T27" s="82">
        <f>'2º TRIMESTRE'!T27+S27</f>
        <v>786038.73</v>
      </c>
      <c r="U27" s="82" t="e">
        <f>'2º TRIMESTRE'!U27+S27</f>
        <v>#REF!</v>
      </c>
      <c r="V27" s="15" t="str">
        <f>'2º TRIMESTRE'!V27</f>
        <v>andamento</v>
      </c>
      <c r="W27" s="45"/>
    </row>
    <row r="28" spans="1:23" ht="42.9">
      <c r="A28" s="14" t="str">
        <f>'2º TRIMESTRE'!A28</f>
        <v>DISP 3/2020</v>
      </c>
      <c r="B28" s="14" t="str">
        <f>'2º TRIMESTRE'!B28</f>
        <v>MONITORAMENTO AMBIENTAL DO ATERRO CONTROLADO DA MURIBECA E SERVIÇOS DE CONSULTORIA TECNOLÓGICA PARA TRATAMENTO DE RESÍDUOS SÓLIDOS URBANOS</v>
      </c>
      <c r="C28" s="14">
        <f>'2º TRIMESTRE'!C28</f>
        <v>0</v>
      </c>
      <c r="D28" s="14">
        <f>'2º TRIMESTRE'!D28</f>
        <v>0</v>
      </c>
      <c r="E28" s="82">
        <f>'2º TRIMESTRE'!E28</f>
        <v>0</v>
      </c>
      <c r="F28" s="82">
        <f>'2º TRIMESTRE'!F28</f>
        <v>0</v>
      </c>
      <c r="G28" s="15" t="str">
        <f>'2º TRIMESTRE'!G28</f>
        <v>11.187.606/0001-02</v>
      </c>
      <c r="H28" s="14" t="str">
        <f>'2º TRIMESTRE'!H28</f>
        <v xml:space="preserve">ATEPE ASSOCIACAO TECNOLOGICA DE PERNAMBUCO                  </v>
      </c>
      <c r="I28" s="15" t="str">
        <f>'2º TRIMESTRE'!I28</f>
        <v>6-018/20</v>
      </c>
      <c r="J28" s="52">
        <f>'2º TRIMESTRE'!J28</f>
        <v>44007</v>
      </c>
      <c r="K28" s="15">
        <f>'2º TRIMESTRE'!K28</f>
        <v>365</v>
      </c>
      <c r="L28" s="82">
        <f>'2º TRIMESTRE'!L28</f>
        <v>251180</v>
      </c>
      <c r="M28" s="52">
        <f t="shared" si="0"/>
        <v>44737</v>
      </c>
      <c r="N28" s="15">
        <f>'2º TRIMESTRE'!N28</f>
        <v>365</v>
      </c>
      <c r="O28" s="82">
        <f>'2º TRIMESTRE'!O28</f>
        <v>251180</v>
      </c>
      <c r="P28" s="82">
        <f>'2º TRIMESTRE'!P28</f>
        <v>0</v>
      </c>
      <c r="Q28" s="15" t="str">
        <f>'2º TRIMESTRE'!Q28</f>
        <v>3.3.90.39</v>
      </c>
      <c r="R28" s="82">
        <f>'2º TRIMESTRE'!R28</f>
        <v>329871</v>
      </c>
      <c r="S28" s="82">
        <v>101407.79</v>
      </c>
      <c r="T28" s="82">
        <f>'2º TRIMESTRE'!T28+S28</f>
        <v>132447.78999999998</v>
      </c>
      <c r="U28" s="82" t="e">
        <f>'2º TRIMESTRE'!U28+S28</f>
        <v>#REF!</v>
      </c>
      <c r="V28" s="15" t="str">
        <f>'2º TRIMESTRE'!V28</f>
        <v>andamento</v>
      </c>
      <c r="W28" s="45"/>
    </row>
    <row r="29" spans="1:23" ht="32.15">
      <c r="A29" s="14" t="str">
        <f>'2º TRIMESTRE'!A29</f>
        <v>concorrência /nº 004/2021</v>
      </c>
      <c r="B29" s="14" t="str">
        <f>'2º TRIMESTRE'!B29</f>
        <v>RECUPERAÇÃO DE PASSEIOS COM IMPLANTAÇÃO DE ACESSIBILIDADE EM VARIAS VIAS E LOCAIS DO RECIFE</v>
      </c>
      <c r="C29" s="14" t="str">
        <f>'2º TRIMESTRE'!C29</f>
        <v>535346/2020</v>
      </c>
      <c r="D29" s="14" t="str">
        <f>'2º TRIMESTRE'!D29</f>
        <v>FINISA</v>
      </c>
      <c r="E29" s="82">
        <f>'2º TRIMESTRE'!E29</f>
        <v>94508747.5</v>
      </c>
      <c r="F29" s="82">
        <f>'2º TRIMESTRE'!F29</f>
        <v>0</v>
      </c>
      <c r="G29" s="15" t="str">
        <f>'2º TRIMESTRE'!G29</f>
        <v>03.608.944/0001-34</v>
      </c>
      <c r="H29" s="14" t="str">
        <f>'2º TRIMESTRE'!H29</f>
        <v>JEPAC CONSTRUCOES LTDA</v>
      </c>
      <c r="I29" s="15" t="str">
        <f>'2º TRIMESTRE'!I29</f>
        <v>6-018/21</v>
      </c>
      <c r="J29" s="52">
        <f>'2º TRIMESTRE'!J29</f>
        <v>44361</v>
      </c>
      <c r="K29" s="15">
        <f>'2º TRIMESTRE'!K29</f>
        <v>790</v>
      </c>
      <c r="L29" s="82">
        <f>'2º TRIMESTRE'!L29</f>
        <v>6770337.1399999997</v>
      </c>
      <c r="M29" s="52">
        <f t="shared" si="0"/>
        <v>45151</v>
      </c>
      <c r="N29" s="15">
        <f>'2º TRIMESTRE'!N29</f>
        <v>0</v>
      </c>
      <c r="O29" s="82">
        <f>'2º TRIMESTRE'!O29</f>
        <v>0</v>
      </c>
      <c r="P29" s="82">
        <f>'2º TRIMESTRE'!P29</f>
        <v>0</v>
      </c>
      <c r="Q29" s="15" t="str">
        <f>'2º TRIMESTRE'!Q29</f>
        <v>3.3.90.39</v>
      </c>
      <c r="R29" s="82">
        <f>'2º TRIMESTRE'!R29+18468.59</f>
        <v>1570644.33</v>
      </c>
      <c r="S29" s="82">
        <v>18468.59</v>
      </c>
      <c r="T29" s="82">
        <f>'2º TRIMESTRE'!T29+S29</f>
        <v>372336.41000000003</v>
      </c>
      <c r="U29" s="82" t="e">
        <f>'2º TRIMESTRE'!U29+S29</f>
        <v>#REF!</v>
      </c>
      <c r="V29" s="15" t="str">
        <f>'2º TRIMESTRE'!V29</f>
        <v>andamento</v>
      </c>
      <c r="W29" s="45"/>
    </row>
    <row r="30" spans="1:23" ht="32.15">
      <c r="A30" s="14" t="str">
        <f>'2º TRIMESTRE'!A30</f>
        <v>CONCORRÊNCIA Licitação: 10/2018</v>
      </c>
      <c r="B30" s="14" t="str">
        <f>'2º TRIMESTRE'!B30</f>
        <v>SERVIÇOS DE MANUTENÇÃO PREVENTIVA DO SISTEMA DE MACRODRENAGEM EM TODAS AS RPA'S DA CIDADE DO RECIFE - RPA 04, 05</v>
      </c>
      <c r="C30" s="14" t="str">
        <f>'2º TRIMESTRE'!C30</f>
        <v>495721/2018 e 535346/2020</v>
      </c>
      <c r="D30" s="14" t="str">
        <f>'2º TRIMESTRE'!D30</f>
        <v>FINISA</v>
      </c>
      <c r="E30" s="82">
        <f>'2º TRIMESTRE'!E30</f>
        <v>184899815.11999997</v>
      </c>
      <c r="F30" s="82">
        <f>'2º TRIMESTRE'!F30</f>
        <v>0</v>
      </c>
      <c r="G30" s="15" t="str">
        <f>'2º TRIMESTRE'!G30</f>
        <v>01.514.128/0001-36</v>
      </c>
      <c r="H30" s="14" t="str">
        <f>'2º TRIMESTRE'!H30</f>
        <v>SCAVE SERVICOS DE ENGENHARIA E LOCACAO LTDA</v>
      </c>
      <c r="I30" s="15" t="str">
        <f>'2º TRIMESTRE'!I30</f>
        <v>6-019/19</v>
      </c>
      <c r="J30" s="52">
        <f>'2º TRIMESTRE'!J30</f>
        <v>43571</v>
      </c>
      <c r="K30" s="15">
        <f>'2º TRIMESTRE'!K30</f>
        <v>1125</v>
      </c>
      <c r="L30" s="82">
        <f>'2º TRIMESTRE'!L30</f>
        <v>11869839.779999999</v>
      </c>
      <c r="M30" s="52">
        <f t="shared" si="0"/>
        <v>44696</v>
      </c>
      <c r="N30" s="15">
        <f>'2º TRIMESTRE'!N30</f>
        <v>0</v>
      </c>
      <c r="O30" s="82">
        <f>'2º TRIMESTRE'!O30</f>
        <v>310156</v>
      </c>
      <c r="P30" s="82">
        <f>'2º TRIMESTRE'!P30</f>
        <v>3232749.75</v>
      </c>
      <c r="Q30" s="15" t="str">
        <f>'2º TRIMESTRE'!Q30</f>
        <v>4.4.90.39</v>
      </c>
      <c r="R30" s="82">
        <f>'2º TRIMESTRE'!R30</f>
        <v>7782852.7899999991</v>
      </c>
      <c r="S30" s="82">
        <v>0</v>
      </c>
      <c r="T30" s="82">
        <f>'2º TRIMESTRE'!T30+S30</f>
        <v>423943.03</v>
      </c>
      <c r="U30" s="82" t="e">
        <f>'2º TRIMESTRE'!U30+S30</f>
        <v>#REF!</v>
      </c>
      <c r="V30" s="15" t="str">
        <f>'2º TRIMESTRE'!V30</f>
        <v>andamento</v>
      </c>
      <c r="W30" s="45"/>
    </row>
    <row r="31" spans="1:23" ht="64.3">
      <c r="A31" s="14" t="str">
        <f>'2º TRIMESTRE'!A31</f>
        <v>CONCORRÊNCIA Licitação: 2/2021</v>
      </c>
      <c r="B31" s="14" t="str">
        <f>'2º TRIMESTRE'!B31</f>
        <v>RECUPERACAO DE ESCADARIAS. MUROS E CORRIMOES LOCALIZADAS NAS DIVERSAS NAS DIVERSAS REGIAO POLITICA ADMINISTRATIVA RPAS DA CIDADE DO RECIFE. DIVIDIDAS EM EM LOTES. LOTE I RPA 2; LOTE II RPA 3 E LOTE III RPA 4.5.6</v>
      </c>
      <c r="C31" s="14" t="str">
        <f>'2º TRIMESTRE'!C31</f>
        <v>535346/2020 e 599406/2021</v>
      </c>
      <c r="D31" s="14" t="str">
        <f>'2º TRIMESTRE'!D31</f>
        <v>FINISA</v>
      </c>
      <c r="E31" s="82">
        <f>'2º TRIMESTRE'!E31</f>
        <v>113346677.56</v>
      </c>
      <c r="F31" s="82">
        <f>'2º TRIMESTRE'!F31</f>
        <v>0</v>
      </c>
      <c r="G31" s="15" t="str">
        <f>'2º TRIMESTRE'!G31</f>
        <v>11.523.068/0001-71</v>
      </c>
      <c r="H31" s="14" t="str">
        <f>'2º TRIMESTRE'!H31</f>
        <v>CONSTRUTORA FAELLA LTDA EPP</v>
      </c>
      <c r="I31" s="15" t="str">
        <f>'2º TRIMESTRE'!I31</f>
        <v>6-021/21</v>
      </c>
      <c r="J31" s="52">
        <f>'2º TRIMESTRE'!J31</f>
        <v>44365</v>
      </c>
      <c r="K31" s="15">
        <f>'2º TRIMESTRE'!K31</f>
        <v>790</v>
      </c>
      <c r="L31" s="82">
        <f>'2º TRIMESTRE'!L31</f>
        <v>6226475.1799999997</v>
      </c>
      <c r="M31" s="52">
        <f t="shared" si="0"/>
        <v>45155</v>
      </c>
      <c r="N31" s="15">
        <f>'2º TRIMESTRE'!N31</f>
        <v>0</v>
      </c>
      <c r="O31" s="82">
        <f>'2º TRIMESTRE'!O31+310156</f>
        <v>310156</v>
      </c>
      <c r="P31" s="82">
        <f>'2º TRIMESTRE'!P31</f>
        <v>0</v>
      </c>
      <c r="Q31" s="15" t="str">
        <f>'2º TRIMESTRE'!Q31</f>
        <v>3.3.90.39</v>
      </c>
      <c r="R31" s="82">
        <f>'2º TRIMESTRE'!R31+1020174.01</f>
        <v>3161238.55</v>
      </c>
      <c r="S31" s="82">
        <v>853604.36</v>
      </c>
      <c r="T31" s="82">
        <f>'2º TRIMESTRE'!T31+S31</f>
        <v>1411655.42</v>
      </c>
      <c r="U31" s="82" t="e">
        <f>'2º TRIMESTRE'!U31+S31</f>
        <v>#REF!</v>
      </c>
      <c r="V31" s="15" t="str">
        <f>'2º TRIMESTRE'!V31</f>
        <v>andamento</v>
      </c>
      <c r="W31" s="45"/>
    </row>
    <row r="32" spans="1:23" ht="21.45">
      <c r="A32" s="14" t="str">
        <f>'2º TRIMESTRE'!A32</f>
        <v>PREGÃO  / Nº 14/2016</v>
      </c>
      <c r="B32" s="14" t="str">
        <f>'2º TRIMESTRE'!B32</f>
        <v xml:space="preserve">SERVIÇOS DE LIMPEZA URBANA – DESTINAÇÃO FINAL DOS RESÍDUOS SÓLIDOS </v>
      </c>
      <c r="C32" s="14">
        <f>'2º TRIMESTRE'!C32</f>
        <v>0</v>
      </c>
      <c r="D32" s="14">
        <f>'2º TRIMESTRE'!D32</f>
        <v>0</v>
      </c>
      <c r="E32" s="82">
        <f>'2º TRIMESTRE'!E32</f>
        <v>0</v>
      </c>
      <c r="F32" s="82">
        <f>'2º TRIMESTRE'!F32</f>
        <v>0</v>
      </c>
      <c r="G32" s="15" t="str">
        <f>'2º TRIMESTRE'!G32</f>
        <v>08.165.091/0002-08</v>
      </c>
      <c r="H32" s="14" t="str">
        <f>'2º TRIMESTRE'!H32</f>
        <v xml:space="preserve">ECOPESA AMBIENTAL S/A                   </v>
      </c>
      <c r="I32" s="15" t="str">
        <f>'2º TRIMESTRE'!I32</f>
        <v>6-022/16</v>
      </c>
      <c r="J32" s="52">
        <f>'2º TRIMESTRE'!J32</f>
        <v>42769</v>
      </c>
      <c r="K32" s="15">
        <f>'2º TRIMESTRE'!K32</f>
        <v>365</v>
      </c>
      <c r="L32" s="82">
        <f>'2º TRIMESTRE'!L32</f>
        <v>38286283.020000003</v>
      </c>
      <c r="M32" s="52">
        <f t="shared" si="0"/>
        <v>44776</v>
      </c>
      <c r="N32" s="15">
        <f>'2º TRIMESTRE'!N32</f>
        <v>1642</v>
      </c>
      <c r="O32" s="82">
        <f>'2º TRIMESTRE'!O32</f>
        <v>190010186.01999998</v>
      </c>
      <c r="P32" s="82">
        <f>'2º TRIMESTRE'!P32</f>
        <v>8446263.3000000007</v>
      </c>
      <c r="Q32" s="15" t="str">
        <f>'2º TRIMESTRE'!Q32</f>
        <v>3.3.90.39</v>
      </c>
      <c r="R32" s="82">
        <f>'2º TRIMESTRE'!R32</f>
        <v>164064779.25999999</v>
      </c>
      <c r="S32" s="82">
        <v>0</v>
      </c>
      <c r="T32" s="82">
        <f>'2º TRIMESTRE'!T32+S32</f>
        <v>8800458.8100000005</v>
      </c>
      <c r="U32" s="82" t="e">
        <f>'2º TRIMESTRE'!U32+S32</f>
        <v>#REF!</v>
      </c>
      <c r="V32" s="15" t="str">
        <f>'2º TRIMESTRE'!V32</f>
        <v>andamento</v>
      </c>
      <c r="W32" s="45"/>
    </row>
    <row r="33" spans="1:23" ht="64.3">
      <c r="A33" s="14" t="str">
        <f>'2º TRIMESTRE'!A33</f>
        <v>CONCORRÊNCIA Licitação: 2/2021</v>
      </c>
      <c r="B33" s="14" t="str">
        <f>'2º TRIMESTRE'!B33</f>
        <v>RECUPERACAO DE ESCADARIAS. MUROS E CORRIMOES LOCALIZADAS NAS DIVERSAS NAS DIVERSAS REGIAO POLITICA ADMINISTRATIVA RPAS DA CIDADE DO RECIFE. DIVIDIDAS EM EM LOTES. LOTE I RPA 2; LOTE II RPA 3 E LOTE III RPA 4.5.6</v>
      </c>
      <c r="C33" s="14" t="str">
        <f>'2º TRIMESTRE'!C33</f>
        <v>535346/2020 e 599406/2021</v>
      </c>
      <c r="D33" s="14" t="str">
        <f>'2º TRIMESTRE'!D33</f>
        <v>FINISA</v>
      </c>
      <c r="E33" s="82">
        <f>'2º TRIMESTRE'!E33</f>
        <v>113346677.56</v>
      </c>
      <c r="F33" s="82">
        <f>'2º TRIMESTRE'!F33</f>
        <v>0</v>
      </c>
      <c r="G33" s="15" t="str">
        <f>'2º TRIMESTRE'!G33</f>
        <v>07.693.988/0001-60</v>
      </c>
      <c r="H33" s="14" t="str">
        <f>'2º TRIMESTRE'!H33</f>
        <v>F R F ENGENHARIA LTDA</v>
      </c>
      <c r="I33" s="15" t="str">
        <f>'2º TRIMESTRE'!I33</f>
        <v>6-022/21</v>
      </c>
      <c r="J33" s="52">
        <f>'2º TRIMESTRE'!J33</f>
        <v>44365</v>
      </c>
      <c r="K33" s="15">
        <f>'2º TRIMESTRE'!K33</f>
        <v>790</v>
      </c>
      <c r="L33" s="82">
        <f>'2º TRIMESTRE'!L33</f>
        <v>9358982.3300000001</v>
      </c>
      <c r="M33" s="52">
        <f t="shared" si="0"/>
        <v>45155</v>
      </c>
      <c r="N33" s="15">
        <f>'2º TRIMESTRE'!N33</f>
        <v>0</v>
      </c>
      <c r="O33" s="82">
        <f>'2º TRIMESTRE'!O33</f>
        <v>0</v>
      </c>
      <c r="P33" s="82">
        <f>'2º TRIMESTRE'!P33</f>
        <v>0</v>
      </c>
      <c r="Q33" s="15" t="str">
        <f>'2º TRIMESTRE'!Q33</f>
        <v>3.3.90.39</v>
      </c>
      <c r="R33" s="82">
        <f>'2º TRIMESTRE'!R33+68186.86</f>
        <v>3286384.86</v>
      </c>
      <c r="S33" s="82">
        <v>266297.46999999997</v>
      </c>
      <c r="T33" s="82">
        <f>'2º TRIMESTRE'!T33+S33</f>
        <v>1907122.27</v>
      </c>
      <c r="U33" s="82" t="e">
        <f>'2º TRIMESTRE'!U33+S33</f>
        <v>#REF!</v>
      </c>
      <c r="V33" s="15" t="str">
        <f>'2º TRIMESTRE'!V33</f>
        <v>andamento</v>
      </c>
      <c r="W33" s="45"/>
    </row>
    <row r="34" spans="1:23" ht="32.15">
      <c r="A34" s="14" t="str">
        <f>'2º TRIMESTRE'!A34</f>
        <v>CONCORRÊNCIA 03/2016</v>
      </c>
      <c r="B34" s="14" t="str">
        <f>'2º TRIMESTRE'!B34</f>
        <v xml:space="preserve">SERVIÇOS DE APOIO TÉCNICO AO MKONITORAMENTO DAS AÇÕES DE MANUTENÇÃO DO SISTEMA VIÁRIO DA CIDADE DO RECIFE, </v>
      </c>
      <c r="C34" s="14">
        <f>'2º TRIMESTRE'!C34</f>
        <v>0</v>
      </c>
      <c r="D34" s="14">
        <f>'2º TRIMESTRE'!D34</f>
        <v>0</v>
      </c>
      <c r="E34" s="82">
        <f>'2º TRIMESTRE'!E34</f>
        <v>0</v>
      </c>
      <c r="F34" s="82">
        <f>'2º TRIMESTRE'!F34</f>
        <v>0</v>
      </c>
      <c r="G34" s="15" t="str">
        <f>'2º TRIMESTRE'!G34</f>
        <v xml:space="preserve">41.075.755/0001-32 </v>
      </c>
      <c r="H34" s="14" t="str">
        <f>'2º TRIMESTRE'!H34</f>
        <v>NORCONSULT PROJETOS E CONSULTORIA LTDA</v>
      </c>
      <c r="I34" s="15" t="str">
        <f>'2º TRIMESTRE'!I34</f>
        <v>6-023/16</v>
      </c>
      <c r="J34" s="52">
        <f>'2º TRIMESTRE'!J34</f>
        <v>42772</v>
      </c>
      <c r="K34" s="15">
        <f>'2º TRIMESTRE'!K34</f>
        <v>365</v>
      </c>
      <c r="L34" s="82">
        <f>'2º TRIMESTRE'!L34</f>
        <v>1777584.96</v>
      </c>
      <c r="M34" s="52">
        <f t="shared" si="0"/>
        <v>44597</v>
      </c>
      <c r="N34" s="15">
        <f>'2º TRIMESTRE'!N34</f>
        <v>1460</v>
      </c>
      <c r="O34" s="82">
        <f>'2º TRIMESTRE'!O34</f>
        <v>8848759.4399999995</v>
      </c>
      <c r="P34" s="82">
        <f>'2º TRIMESTRE'!P34</f>
        <v>88092.12</v>
      </c>
      <c r="Q34" s="15" t="str">
        <f>'2º TRIMESTRE'!Q34</f>
        <v>3.3.90.39</v>
      </c>
      <c r="R34" s="82">
        <f>'2º TRIMESTRE'!R34+674145.28</f>
        <v>7397823.6700000009</v>
      </c>
      <c r="S34" s="82">
        <v>535150.56000000006</v>
      </c>
      <c r="T34" s="82">
        <f>'2º TRIMESTRE'!T34+S34</f>
        <v>567141.31000000006</v>
      </c>
      <c r="U34" s="82" t="e">
        <f>'2º TRIMESTRE'!U34+S34</f>
        <v>#REF!</v>
      </c>
      <c r="V34" s="15" t="str">
        <f>'2º TRIMESTRE'!V34</f>
        <v>encerrado</v>
      </c>
      <c r="W34" s="45"/>
    </row>
    <row r="35" spans="1:23" ht="64.3">
      <c r="A35" s="14" t="str">
        <f>'2º TRIMESTRE'!A35</f>
        <v>CONCORRÊNCIA Licitação: 2/2021</v>
      </c>
      <c r="B35" s="14" t="str">
        <f>'2º TRIMESTRE'!B35</f>
        <v>RECUPERACAO DE ESCADARIAS. MUROS E CORRIMOES LOCALIZADAS NAS DIVERSAS NAS DIVERSAS REGIAO POLITICA ADMINISTRATIVA RPAS DA CIDADE DO RECIFE. DIVIDIDAS EM EM LOTES. LOTE I RPA 2; LOTE II RPA 3 E LOTE III RPA 4.5.6</v>
      </c>
      <c r="C35" s="14" t="str">
        <f>'2º TRIMESTRE'!C35</f>
        <v>535346/2020 e 599406/2021</v>
      </c>
      <c r="D35" s="14" t="str">
        <f>'2º TRIMESTRE'!D35</f>
        <v>FINISA</v>
      </c>
      <c r="E35" s="82">
        <f>'2º TRIMESTRE'!E35</f>
        <v>113346677.56</v>
      </c>
      <c r="F35" s="82">
        <f>'2º TRIMESTRE'!F35</f>
        <v>0</v>
      </c>
      <c r="G35" s="15" t="str">
        <f>'2º TRIMESTRE'!G35</f>
        <v>10.811.370/0001-62</v>
      </c>
      <c r="H35" s="14" t="str">
        <f>'2º TRIMESTRE'!H35</f>
        <v>GUERRA CONSTRUCOES LTDA</v>
      </c>
      <c r="I35" s="15" t="str">
        <f>'2º TRIMESTRE'!I35</f>
        <v>6-023/21</v>
      </c>
      <c r="J35" s="52">
        <f>'2º TRIMESTRE'!J35</f>
        <v>44365</v>
      </c>
      <c r="K35" s="15">
        <f>'2º TRIMESTRE'!K35</f>
        <v>790</v>
      </c>
      <c r="L35" s="82">
        <f>'2º TRIMESTRE'!L35</f>
        <v>7403917.6600000001</v>
      </c>
      <c r="M35" s="52">
        <f t="shared" si="0"/>
        <v>45245</v>
      </c>
      <c r="N35" s="15">
        <f>'2º TRIMESTRE'!N35+90</f>
        <v>90</v>
      </c>
      <c r="O35" s="82">
        <f>'2º TRIMESTRE'!O35</f>
        <v>0</v>
      </c>
      <c r="P35" s="82">
        <f>'2º TRIMESTRE'!P35</f>
        <v>0</v>
      </c>
      <c r="Q35" s="15" t="str">
        <f>'2º TRIMESTRE'!Q35</f>
        <v>3.3.90.39</v>
      </c>
      <c r="R35" s="82">
        <f>'2º TRIMESTRE'!R35+218983.35</f>
        <v>3414646.8400000003</v>
      </c>
      <c r="S35" s="82">
        <v>218983.35</v>
      </c>
      <c r="T35" s="82">
        <f>'2º TRIMESTRE'!T35+S35</f>
        <v>1141026.49</v>
      </c>
      <c r="U35" s="82" t="e">
        <f>'2º TRIMESTRE'!U35+S35</f>
        <v>#REF!</v>
      </c>
      <c r="V35" s="15" t="str">
        <f>'2º TRIMESTRE'!V35</f>
        <v>andamento</v>
      </c>
      <c r="W35" s="45"/>
    </row>
    <row r="36" spans="1:23" ht="21.45">
      <c r="A36" s="14" t="str">
        <f>'2º TRIMESTRE'!A36</f>
        <v>PREGÃO  / Nº 14/2016</v>
      </c>
      <c r="B36" s="14" t="str">
        <f>'2º TRIMESTRE'!B36</f>
        <v xml:space="preserve">SERVIÇOS DE LIMPEZA URBANA – DESTINAÇÃO FINAL DOS RESÍDUOS SÓLIDOS </v>
      </c>
      <c r="C36" s="14">
        <f>'2º TRIMESTRE'!C36</f>
        <v>0</v>
      </c>
      <c r="D36" s="14">
        <f>'2º TRIMESTRE'!D36</f>
        <v>0</v>
      </c>
      <c r="E36" s="82">
        <f>'2º TRIMESTRE'!E36</f>
        <v>0</v>
      </c>
      <c r="F36" s="82">
        <f>'2º TRIMESTRE'!F36</f>
        <v>0</v>
      </c>
      <c r="G36" s="15" t="str">
        <f>'2º TRIMESTRE'!G36</f>
        <v>08.165.091/0002-08</v>
      </c>
      <c r="H36" s="14" t="str">
        <f>'2º TRIMESTRE'!H36</f>
        <v xml:space="preserve">ECOPESA AMBIENTAL S/A                   </v>
      </c>
      <c r="I36" s="15" t="str">
        <f>'2º TRIMESTRE'!I36</f>
        <v>6-024/16</v>
      </c>
      <c r="J36" s="52">
        <f>'2º TRIMESTRE'!J36</f>
        <v>42769</v>
      </c>
      <c r="K36" s="15">
        <f>'2º TRIMESTRE'!K36</f>
        <v>365</v>
      </c>
      <c r="L36" s="82">
        <f>'2º TRIMESTRE'!L36</f>
        <v>8888698.4900000002</v>
      </c>
      <c r="M36" s="52">
        <f t="shared" si="0"/>
        <v>44776</v>
      </c>
      <c r="N36" s="15">
        <f>'2º TRIMESTRE'!N36</f>
        <v>1642</v>
      </c>
      <c r="O36" s="82">
        <f>'2º TRIMESTRE'!O36</f>
        <v>43850158.57</v>
      </c>
      <c r="P36" s="82">
        <f>'2º TRIMESTRE'!P36</f>
        <v>1440957.39</v>
      </c>
      <c r="Q36" s="15" t="str">
        <f>'2º TRIMESTRE'!Q36</f>
        <v>3.3.90.39</v>
      </c>
      <c r="R36" s="82">
        <f>'2º TRIMESTRE'!R36</f>
        <v>38758644.540000007</v>
      </c>
      <c r="S36" s="82"/>
      <c r="T36" s="82">
        <f>'2º TRIMESTRE'!T36+S36</f>
        <v>2242659.59</v>
      </c>
      <c r="U36" s="82" t="e">
        <f>'2º TRIMESTRE'!U36+S36</f>
        <v>#REF!</v>
      </c>
      <c r="V36" s="15" t="str">
        <f>'2º TRIMESTRE'!V36</f>
        <v>andamento</v>
      </c>
      <c r="W36" s="45"/>
    </row>
    <row r="37" spans="1:23" ht="64.3">
      <c r="A37" s="14" t="str">
        <f>'2º TRIMESTRE'!A37</f>
        <v>CONCORRÊNCIA Licitação:    004/2019</v>
      </c>
      <c r="B37" s="14" t="str">
        <f>'2º TRIMESTRE'!B37</f>
        <v>SERVIÇOS COMPLEMENTARES DE LIMPEZA URBANA EM ÁREAS PLANAS E DE TALUDE E SERVIÇOS DE MANUTENÇÃO CONTÍNUA PREVENTIVA E CORRETIVA DA ARBORIZAÇÃO URBANA EM MORROS, INCLUINDO A LOCAÇÃO DE VEÍCULOS E EQUIPAMENTOS.</v>
      </c>
      <c r="C37" s="14">
        <f>'2º TRIMESTRE'!C37</f>
        <v>0</v>
      </c>
      <c r="D37" s="14">
        <f>'2º TRIMESTRE'!D37</f>
        <v>0</v>
      </c>
      <c r="E37" s="82">
        <f>'2º TRIMESTRE'!E37</f>
        <v>0</v>
      </c>
      <c r="F37" s="82">
        <f>'2º TRIMESTRE'!F37</f>
        <v>0</v>
      </c>
      <c r="G37" s="15" t="str">
        <f>'2º TRIMESTRE'!G37</f>
        <v>40.884.405/0001-54</v>
      </c>
      <c r="H37" s="14" t="str">
        <f>'2º TRIMESTRE'!H37</f>
        <v>LOQUIPE LOCACAO DE EQUIPAMENTOS E MAO DE OBRA LTDA</v>
      </c>
      <c r="I37" s="15" t="str">
        <f>'2º TRIMESTRE'!I37</f>
        <v>6-024/19</v>
      </c>
      <c r="J37" s="52">
        <f>'2º TRIMESTRE'!J37</f>
        <v>43633</v>
      </c>
      <c r="K37" s="15">
        <f>'2º TRIMESTRE'!K37</f>
        <v>395</v>
      </c>
      <c r="L37" s="82">
        <f>'2º TRIMESTRE'!L37</f>
        <v>12390281.279999999</v>
      </c>
      <c r="M37" s="52">
        <f t="shared" si="0"/>
        <v>44758</v>
      </c>
      <c r="N37" s="15">
        <f>'2º TRIMESTRE'!N37</f>
        <v>730</v>
      </c>
      <c r="O37" s="82">
        <f>'2º TRIMESTRE'!O37</f>
        <v>28104956.880000003</v>
      </c>
      <c r="P37" s="82">
        <f>'2º TRIMESTRE'!P37</f>
        <v>2473711.6800000002</v>
      </c>
      <c r="Q37" s="15" t="str">
        <f>'2º TRIMESTRE'!Q37</f>
        <v>3.3.90.39</v>
      </c>
      <c r="R37" s="82">
        <f>'2º TRIMESTRE'!R37+8042922.4</f>
        <v>30540360.440000005</v>
      </c>
      <c r="S37" s="82">
        <v>8253787.0199999996</v>
      </c>
      <c r="T37" s="82">
        <f>'2º TRIMESTRE'!T37+S37</f>
        <v>10080678.119999999</v>
      </c>
      <c r="U37" s="82" t="e">
        <f>'2º TRIMESTRE'!U37+S37</f>
        <v>#REF!</v>
      </c>
      <c r="V37" s="15" t="str">
        <f>'2º TRIMESTRE'!V37</f>
        <v>andamento</v>
      </c>
      <c r="W37" s="45"/>
    </row>
    <row r="38" spans="1:23" ht="42.9">
      <c r="A38" s="14" t="str">
        <f>'2º TRIMESTRE'!A38</f>
        <v>CONCORRÊNCIA Licitação: 1/2020</v>
      </c>
      <c r="B38" s="14" t="str">
        <f>'2º TRIMESTRE'!B38</f>
        <v>SERVIÇOS DE MANUTENÇÃO CORRETIVA DE VIAS NÃO PAVIMENTADAS DO SISTEMA VIÁRIO DA CIDADE DO RECIFE, COMPOSTOS BASICAMENTE POR SERVIÇOS DE TERRAPLENAGEM.</v>
      </c>
      <c r="C38" s="14">
        <f>'2º TRIMESTRE'!C38</f>
        <v>0</v>
      </c>
      <c r="D38" s="14">
        <f>'2º TRIMESTRE'!D38</f>
        <v>0</v>
      </c>
      <c r="E38" s="82">
        <f>'2º TRIMESTRE'!E38</f>
        <v>0</v>
      </c>
      <c r="F38" s="82">
        <f>'2º TRIMESTRE'!F38</f>
        <v>0</v>
      </c>
      <c r="G38" s="15" t="str">
        <f>'2º TRIMESTRE'!G38</f>
        <v>40.884.405/0001-54</v>
      </c>
      <c r="H38" s="14" t="str">
        <f>'2º TRIMESTRE'!H38</f>
        <v>LOQUIPE LOCACAO DE EQUIPAMENTOS E MAO DE OBRA LTDA</v>
      </c>
      <c r="I38" s="15" t="str">
        <f>'2º TRIMESTRE'!I38</f>
        <v>6-024/20</v>
      </c>
      <c r="J38" s="52">
        <f>'2º TRIMESTRE'!J38</f>
        <v>44084</v>
      </c>
      <c r="K38" s="15">
        <f>'2º TRIMESTRE'!K38</f>
        <v>760</v>
      </c>
      <c r="L38" s="82">
        <f>'2º TRIMESTRE'!L38</f>
        <v>2567335.44</v>
      </c>
      <c r="M38" s="52">
        <f t="shared" si="0"/>
        <v>44844</v>
      </c>
      <c r="N38" s="15">
        <f>'2º TRIMESTRE'!N38</f>
        <v>0</v>
      </c>
      <c r="O38" s="82">
        <f>'2º TRIMESTRE'!O38</f>
        <v>0</v>
      </c>
      <c r="P38" s="82">
        <f>'2º TRIMESTRE'!P38</f>
        <v>0</v>
      </c>
      <c r="Q38" s="15" t="str">
        <f>'2º TRIMESTRE'!Q38</f>
        <v>3.3.90.39</v>
      </c>
      <c r="R38" s="82">
        <f>'2º TRIMESTRE'!R38</f>
        <v>1650108.01</v>
      </c>
      <c r="S38" s="82">
        <v>0</v>
      </c>
      <c r="T38" s="82">
        <f>'2º TRIMESTRE'!T38+S38</f>
        <v>174397.54</v>
      </c>
      <c r="U38" s="82" t="e">
        <f>'2º TRIMESTRE'!U38+S38</f>
        <v>#REF!</v>
      </c>
      <c r="V38" s="15" t="str">
        <f>'2º TRIMESTRE'!V38</f>
        <v>andamento</v>
      </c>
      <c r="W38" s="45"/>
    </row>
    <row r="39" spans="1:23" ht="64.3">
      <c r="A39" s="14" t="str">
        <f>'2º TRIMESTRE'!A39</f>
        <v>CONCORRÊNCIA Licitação: 18/2020</v>
      </c>
      <c r="B39" s="14" t="str">
        <f>'2º TRIMESTRE'!B39</f>
        <v>CONTRATACAO DE SERVICOS DE MANUTENCAO PREVENTIVA IMPLANTACAO. REQUALIFICACAO E OU RECAPEAMENTO DE VIAS EM CONCRETO BETUMINOSO USINADO A QUENTE CBUQ DO SISTEMA VIARIO DA CIDADE DO RECIFE LOTE I RPA 1</v>
      </c>
      <c r="C39" s="14" t="str">
        <f>'2º TRIMESTRE'!C39</f>
        <v>535346/2020  e 599406/2021 e 01/2020</v>
      </c>
      <c r="D39" s="14" t="str">
        <f>'2º TRIMESTRE'!D39</f>
        <v>FINISA e CTTU</v>
      </c>
      <c r="E39" s="82">
        <f>'2º TRIMESTRE'!E39</f>
        <v>139865458.63</v>
      </c>
      <c r="F39" s="82">
        <f>'2º TRIMESTRE'!F39</f>
        <v>0</v>
      </c>
      <c r="G39" s="15" t="str">
        <f>'2º TRIMESTRE'!G39</f>
        <v>40.882.060/0001-08</v>
      </c>
      <c r="H39" s="14" t="str">
        <f>'2º TRIMESTRE'!H39</f>
        <v>LIDERMAC CONSTRUCOES E EQUIPAMENTOS LTDA</v>
      </c>
      <c r="I39" s="15" t="str">
        <f>'2º TRIMESTRE'!I39</f>
        <v>6-024/21</v>
      </c>
      <c r="J39" s="52">
        <f>'2º TRIMESTRE'!J39</f>
        <v>44370</v>
      </c>
      <c r="K39" s="15">
        <f>'2º TRIMESTRE'!K39</f>
        <v>760</v>
      </c>
      <c r="L39" s="82">
        <f>'2º TRIMESTRE'!L39</f>
        <v>16439785.83</v>
      </c>
      <c r="M39" s="52">
        <f t="shared" si="0"/>
        <v>45160</v>
      </c>
      <c r="N39" s="15">
        <f>'2º TRIMESTRE'!N39+30</f>
        <v>30</v>
      </c>
      <c r="O39" s="82">
        <f>'2º TRIMESTRE'!O39</f>
        <v>0</v>
      </c>
      <c r="P39" s="82">
        <f>'2º TRIMESTRE'!P39</f>
        <v>0</v>
      </c>
      <c r="Q39" s="15" t="str">
        <f>'2º TRIMESTRE'!Q39</f>
        <v>4.4.90.39</v>
      </c>
      <c r="R39" s="82">
        <f>'2º TRIMESTRE'!R39</f>
        <v>4939448.38</v>
      </c>
      <c r="S39" s="82">
        <v>186593.99</v>
      </c>
      <c r="T39" s="82">
        <f>'2º TRIMESTRE'!T39+S39</f>
        <v>186593.99</v>
      </c>
      <c r="U39" s="82" t="e">
        <f>'2º TRIMESTRE'!U39+S39</f>
        <v>#REF!</v>
      </c>
      <c r="V39" s="15" t="str">
        <f>'2º TRIMESTRE'!V39</f>
        <v>andamento</v>
      </c>
      <c r="W39" s="45"/>
    </row>
    <row r="40" spans="1:23" ht="21.45">
      <c r="A40" s="14" t="str">
        <f>'2º TRIMESTRE'!A40</f>
        <v>PREGÃO PRESENCIAL/ Nº 014/2016</v>
      </c>
      <c r="B40" s="14" t="str">
        <f>'2º TRIMESTRE'!B40</f>
        <v>SERVIÇO DE LIMPEZA URBANA - DESTINAÇÃO FINAL DOS RESÍDUOS SÓLIDOS</v>
      </c>
      <c r="C40" s="14">
        <f>'2º TRIMESTRE'!C40</f>
        <v>0</v>
      </c>
      <c r="D40" s="14">
        <f>'2º TRIMESTRE'!D40</f>
        <v>0</v>
      </c>
      <c r="E40" s="82">
        <f>'2º TRIMESTRE'!E40</f>
        <v>0</v>
      </c>
      <c r="F40" s="82">
        <f>'2º TRIMESTRE'!F40</f>
        <v>0</v>
      </c>
      <c r="G40" s="15" t="str">
        <f>'2º TRIMESTRE'!G40</f>
        <v>41.116.138/0001-38</v>
      </c>
      <c r="H40" s="14" t="str">
        <f>'2º TRIMESTRE'!H40</f>
        <v>CICLO AMBIENTAL LTDA</v>
      </c>
      <c r="I40" s="15" t="str">
        <f>'2º TRIMESTRE'!I40</f>
        <v>6-025/16</v>
      </c>
      <c r="J40" s="52">
        <f>'2º TRIMESTRE'!J40</f>
        <v>42814</v>
      </c>
      <c r="K40" s="15">
        <f>'2º TRIMESTRE'!K40</f>
        <v>365</v>
      </c>
      <c r="L40" s="82">
        <f>'2º TRIMESTRE'!L40</f>
        <v>3423770.88</v>
      </c>
      <c r="M40" s="52">
        <f t="shared" si="0"/>
        <v>44959</v>
      </c>
      <c r="N40" s="15">
        <f>'2º TRIMESTRE'!N40</f>
        <v>1780</v>
      </c>
      <c r="O40" s="82">
        <f>'2º TRIMESTRE'!O40</f>
        <v>23484577.199999999</v>
      </c>
      <c r="P40" s="82">
        <f>'2º TRIMESTRE'!P40</f>
        <v>559078.56000000006</v>
      </c>
      <c r="Q40" s="15" t="str">
        <f>'2º TRIMESTRE'!Q40</f>
        <v>3.3.90.39</v>
      </c>
      <c r="R40" s="82">
        <f>'2º TRIMESTRE'!R40</f>
        <v>20750532.399999999</v>
      </c>
      <c r="S40" s="82">
        <v>0</v>
      </c>
      <c r="T40" s="82">
        <f>'2º TRIMESTRE'!T40+S40</f>
        <v>589433.02</v>
      </c>
      <c r="U40" s="82" t="e">
        <f>'2º TRIMESTRE'!U40+S40</f>
        <v>#REF!</v>
      </c>
      <c r="V40" s="15" t="str">
        <f>'2º TRIMESTRE'!V40</f>
        <v>andamento</v>
      </c>
      <c r="W40" s="45"/>
    </row>
    <row r="41" spans="1:23" ht="64.3">
      <c r="A41" s="14" t="str">
        <f>'2º TRIMESTRE'!A41</f>
        <v>CONCORRÊNCIA Licitação: 18/2020</v>
      </c>
      <c r="B41" s="14" t="str">
        <f>'2º TRIMESTRE'!B41</f>
        <v>CONTRATACAO DE SERVICOS DE MANUTENCAO PREVENTIVA IMPLANTACAO. REQUALIFICACAO E OU RECAPEAMENTO DE VIAS EM CONCRETO BETUMINOSO USINADO A QUENTE CBUQ DO SISTEMA VIARIO DA CIDADE DO RECIFE LOTE II RPA 2 E 3</v>
      </c>
      <c r="C41" s="14" t="str">
        <f>'2º TRIMESTRE'!C41</f>
        <v>535346/2020  e 599406/2021 e 01/2020</v>
      </c>
      <c r="D41" s="14" t="str">
        <f>'2º TRIMESTRE'!D41</f>
        <v>FINISA e CTTU</v>
      </c>
      <c r="E41" s="82">
        <f>'2º TRIMESTRE'!E41</f>
        <v>139865458.63</v>
      </c>
      <c r="F41" s="82">
        <f>'2º TRIMESTRE'!F41</f>
        <v>0</v>
      </c>
      <c r="G41" s="15" t="str">
        <f>'2º TRIMESTRE'!G41</f>
        <v>00.999.591/0001-52</v>
      </c>
      <c r="H41" s="14" t="str">
        <f>'2º TRIMESTRE'!H41</f>
        <v xml:space="preserve">AGC CONSTRUTORA E EMPREENDIMENTOS LTDA      </v>
      </c>
      <c r="I41" s="15" t="str">
        <f>'2º TRIMESTRE'!I41</f>
        <v>6-025/21</v>
      </c>
      <c r="J41" s="52">
        <f>'2º TRIMESTRE'!J41</f>
        <v>44370</v>
      </c>
      <c r="K41" s="15">
        <f>'2º TRIMESTRE'!K41</f>
        <v>760</v>
      </c>
      <c r="L41" s="82">
        <f>'2º TRIMESTRE'!L41</f>
        <v>16994062.079999998</v>
      </c>
      <c r="M41" s="52">
        <f t="shared" si="0"/>
        <v>45130</v>
      </c>
      <c r="N41" s="15">
        <f>'2º TRIMESTRE'!N41</f>
        <v>0</v>
      </c>
      <c r="O41" s="82">
        <f>'2º TRIMESTRE'!O41</f>
        <v>1163076</v>
      </c>
      <c r="P41" s="82">
        <f>'2º TRIMESTRE'!P41</f>
        <v>0</v>
      </c>
      <c r="Q41" s="15" t="str">
        <f>'2º TRIMESTRE'!Q41</f>
        <v>4.4.90.39</v>
      </c>
      <c r="R41" s="82">
        <f>'2º TRIMESTRE'!R41+38220649.34</f>
        <v>49014592.920000002</v>
      </c>
      <c r="S41" s="82">
        <v>38220649.340000004</v>
      </c>
      <c r="T41" s="82">
        <f>'2º TRIMESTRE'!T41+S41</f>
        <v>40468308.080000006</v>
      </c>
      <c r="U41" s="82" t="e">
        <f>'2º TRIMESTRE'!U41+S41</f>
        <v>#REF!</v>
      </c>
      <c r="V41" s="15" t="str">
        <f>'2º TRIMESTRE'!V41</f>
        <v>andamento</v>
      </c>
      <c r="W41" s="45"/>
    </row>
    <row r="42" spans="1:23" ht="64.3">
      <c r="A42" s="14" t="str">
        <f>'2º TRIMESTRE'!A42</f>
        <v>CONCORRÊNCIA Licitação: 18/2020</v>
      </c>
      <c r="B42" s="14" t="str">
        <f>'2º TRIMESTRE'!B42</f>
        <v>CONTRATACAO DE SERVICOS DE MANUTENCAO PREVENTIVA IMPLANTACAO. REQUALIFICACAO E OU RECAPEAMENTO DE VIAS EM CONCRETO BETUMINOSO USINADO A QUENTE CBUQ DO SISTEMA VIARIO DA CIDADE DO RECIFE LOTES III RPA 4 E 5</v>
      </c>
      <c r="C42" s="14" t="str">
        <f>'2º TRIMESTRE'!C42</f>
        <v>535346/2020  e 599406/2021 e 01/2020</v>
      </c>
      <c r="D42" s="14" t="str">
        <f>'2º TRIMESTRE'!D42</f>
        <v>FINISA e CTTU</v>
      </c>
      <c r="E42" s="82">
        <f>'2º TRIMESTRE'!E42</f>
        <v>139865458.63</v>
      </c>
      <c r="F42" s="82">
        <f>'2º TRIMESTRE'!F42</f>
        <v>0</v>
      </c>
      <c r="G42" s="15" t="str">
        <f>'2º TRIMESTRE'!G42</f>
        <v>23.742.620/0001-00</v>
      </c>
      <c r="H42" s="14" t="str">
        <f>'2º TRIMESTRE'!H42</f>
        <v>INSTTALE ENGENHARIA LTDA</v>
      </c>
      <c r="I42" s="15" t="str">
        <f>'2º TRIMESTRE'!I42</f>
        <v>6-026/21</v>
      </c>
      <c r="J42" s="52">
        <f>'2º TRIMESTRE'!J42</f>
        <v>44370</v>
      </c>
      <c r="K42" s="15">
        <f>'2º TRIMESTRE'!K42</f>
        <v>760</v>
      </c>
      <c r="L42" s="82">
        <f>'2º TRIMESTRE'!L42</f>
        <v>21157084.25</v>
      </c>
      <c r="M42" s="52">
        <f t="shared" si="0"/>
        <v>45130</v>
      </c>
      <c r="N42" s="15">
        <f>'2º TRIMESTRE'!N42</f>
        <v>0</v>
      </c>
      <c r="O42" s="82">
        <f>'2º TRIMESTRE'!O42+12305</f>
        <v>4690965.8499999996</v>
      </c>
      <c r="P42" s="82">
        <f>'2º TRIMESTRE'!P42</f>
        <v>0</v>
      </c>
      <c r="Q42" s="15" t="str">
        <f>'2º TRIMESTRE'!Q42</f>
        <v>4.4.90.39</v>
      </c>
      <c r="R42" s="82">
        <f>'2º TRIMESTRE'!R42+432466.71</f>
        <v>13052399.550000001</v>
      </c>
      <c r="S42" s="93">
        <v>456875.72</v>
      </c>
      <c r="T42" s="82">
        <f>'2º TRIMESTRE'!T42+S42</f>
        <v>2918176.09</v>
      </c>
      <c r="U42" s="82" t="e">
        <f>'2º TRIMESTRE'!U42+S42</f>
        <v>#REF!</v>
      </c>
      <c r="V42" s="15" t="str">
        <f>'2º TRIMESTRE'!V42</f>
        <v>andamento</v>
      </c>
      <c r="W42" s="45"/>
    </row>
    <row r="43" spans="1:23" ht="32.15">
      <c r="A43" s="14" t="str">
        <f>'2º TRIMESTRE'!A43</f>
        <v>CONCORRÊNCIA Licitação: 3/2020</v>
      </c>
      <c r="B43" s="14" t="str">
        <f>'2º TRIMESTRE'!B43</f>
        <v>SERVIÇOS DE IMPLANTAÇÃO/REQUALIFICAÇÃO DA REDE DE DRENAGEM E PAVIMENTAÇÃO DAS RUAS DAVID NASSER E SENADOR THOMAZ LOBO</v>
      </c>
      <c r="C43" s="14" t="str">
        <f>'2º TRIMESTRE'!C43</f>
        <v>535346/2020</v>
      </c>
      <c r="D43" s="14" t="str">
        <f>'2º TRIMESTRE'!D43</f>
        <v>FINISA</v>
      </c>
      <c r="E43" s="82">
        <f>'2º TRIMESTRE'!E43</f>
        <v>94508747.5</v>
      </c>
      <c r="F43" s="82">
        <f>'2º TRIMESTRE'!F43</f>
        <v>0</v>
      </c>
      <c r="G43" s="15" t="str">
        <f>'2º TRIMESTRE'!G43</f>
        <v>07.157.925/0001-90</v>
      </c>
      <c r="H43" s="14" t="str">
        <f>'2º TRIMESTRE'!H43</f>
        <v>WB CONSTRUTORA LTDA</v>
      </c>
      <c r="I43" s="15" t="str">
        <f>'2º TRIMESTRE'!I43</f>
        <v>6-027/20</v>
      </c>
      <c r="J43" s="52">
        <f>'2º TRIMESTRE'!J43</f>
        <v>44089</v>
      </c>
      <c r="K43" s="15">
        <f>'2º TRIMESTRE'!K43</f>
        <v>210</v>
      </c>
      <c r="L43" s="82">
        <f>'2º TRIMESTRE'!L43</f>
        <v>3335155.86</v>
      </c>
      <c r="M43" s="52">
        <f t="shared" si="0"/>
        <v>44584</v>
      </c>
      <c r="N43" s="15">
        <f>'2º TRIMESTRE'!N43</f>
        <v>285</v>
      </c>
      <c r="O43" s="82">
        <f>'2º TRIMESTRE'!O43</f>
        <v>767945.97</v>
      </c>
      <c r="P43" s="82">
        <f>'2º TRIMESTRE'!P43</f>
        <v>0</v>
      </c>
      <c r="Q43" s="15" t="str">
        <f>'2º TRIMESTRE'!Q43</f>
        <v>4.4.90.39</v>
      </c>
      <c r="R43" s="82">
        <f>'2º TRIMESTRE'!R43</f>
        <v>3486185.38</v>
      </c>
      <c r="S43" s="82">
        <v>0</v>
      </c>
      <c r="T43" s="82">
        <f>'2º TRIMESTRE'!T43+S43</f>
        <v>538484.02</v>
      </c>
      <c r="U43" s="82" t="e">
        <f>'2º TRIMESTRE'!U43+S43</f>
        <v>#REF!</v>
      </c>
      <c r="V43" s="15" t="s">
        <v>190</v>
      </c>
      <c r="W43" s="45"/>
    </row>
    <row r="44" spans="1:23" ht="64.3">
      <c r="A44" s="14" t="str">
        <f>'2º TRIMESTRE'!A44</f>
        <v>CONCORRÊNCIA Licitação: 18/2020</v>
      </c>
      <c r="B44" s="14" t="str">
        <f>'2º TRIMESTRE'!B44</f>
        <v>CONTRATACAO DE SERVICOS DE MANUTENCAO PREVENTIVA IMPLANTACAO. REQUALIFICACAO E OU RECAPEAMENTO DE VIAS EM CONCRETO BETUMINOSO USINADO A QUENTE CBUQ DO SISTEMA VIARIO DA CIDADE DO RECIFE LOTE IV RPA 6</v>
      </c>
      <c r="C44" s="14" t="str">
        <f>'2º TRIMESTRE'!C44</f>
        <v>535346/2020  e 599406/2021 e 01/2020</v>
      </c>
      <c r="D44" s="14" t="str">
        <f>'2º TRIMESTRE'!D44</f>
        <v>FINISA e CTTU</v>
      </c>
      <c r="E44" s="82">
        <f>'2º TRIMESTRE'!E44</f>
        <v>139865458.63</v>
      </c>
      <c r="F44" s="82">
        <f>'2º TRIMESTRE'!F44</f>
        <v>0</v>
      </c>
      <c r="G44" s="15" t="str">
        <f>'2º TRIMESTRE'!G44</f>
        <v>40.882.060/0001-08</v>
      </c>
      <c r="H44" s="14" t="str">
        <f>'2º TRIMESTRE'!H44</f>
        <v>LIDERMAC CONSTRUCOES E EQUIPAMENTOS LTDA</v>
      </c>
      <c r="I44" s="15" t="str">
        <f>'2º TRIMESTRE'!I44</f>
        <v>6-027/21</v>
      </c>
      <c r="J44" s="52">
        <f>'2º TRIMESTRE'!J44</f>
        <v>44370</v>
      </c>
      <c r="K44" s="15">
        <f>'2º TRIMESTRE'!K44</f>
        <v>760</v>
      </c>
      <c r="L44" s="82">
        <f>'2º TRIMESTRE'!L44</f>
        <v>17242398.460000001</v>
      </c>
      <c r="M44" s="52">
        <f t="shared" si="0"/>
        <v>45130</v>
      </c>
      <c r="N44" s="15">
        <f>'2º TRIMESTRE'!N44</f>
        <v>0</v>
      </c>
      <c r="O44" s="82">
        <f>'2º TRIMESTRE'!O44</f>
        <v>0</v>
      </c>
      <c r="P44" s="82">
        <f>'2º TRIMESTRE'!P44</f>
        <v>0</v>
      </c>
      <c r="Q44" s="15" t="str">
        <f>'2º TRIMESTRE'!Q44</f>
        <v>4.4.90.39</v>
      </c>
      <c r="R44" s="82">
        <f>'2º TRIMESTRE'!R44+234922</f>
        <v>5485940.3599999994</v>
      </c>
      <c r="S44" s="82">
        <v>234922</v>
      </c>
      <c r="T44" s="82">
        <f>'2º TRIMESTRE'!T44+S44</f>
        <v>515363.27</v>
      </c>
      <c r="U44" s="82" t="e">
        <f>'2º TRIMESTRE'!U44+S44</f>
        <v>#REF!</v>
      </c>
      <c r="V44" s="15" t="str">
        <f>'2º TRIMESTRE'!V44</f>
        <v>andamento</v>
      </c>
      <c r="W44" s="45"/>
    </row>
    <row r="45" spans="1:23" ht="53.6">
      <c r="A45" s="14" t="str">
        <f>'2º TRIMESTRE'!A45</f>
        <v>CONCORRÊNCIA Licitação: 16/2020</v>
      </c>
      <c r="B45" s="14" t="str">
        <f>'2º TRIMESTRE'!B45</f>
        <v>EXECUÇÃO DE SERVIÇOS DE REQUALIFICAÇÃO MANUTENÇÃO PREVENTIVA E CORRETIVA DE PRAÇAS, PARQUES E ÁREAS VERDES CANTEIROS DE AVENIDAS E REFÚGIOS DA CIDADE DO RECIFE RPAS 1,2 E 3</v>
      </c>
      <c r="C45" s="14">
        <f>'2º TRIMESTRE'!C45</f>
        <v>0</v>
      </c>
      <c r="D45" s="14">
        <f>'2º TRIMESTRE'!D45</f>
        <v>0</v>
      </c>
      <c r="E45" s="82">
        <f>'2º TRIMESTRE'!E45</f>
        <v>0</v>
      </c>
      <c r="F45" s="82">
        <f>'2º TRIMESTRE'!F45</f>
        <v>0</v>
      </c>
      <c r="G45" s="15" t="str">
        <f>'2º TRIMESTRE'!G45</f>
        <v>05.625.079/0001-60</v>
      </c>
      <c r="H45" s="14" t="str">
        <f>'2º TRIMESTRE'!H45</f>
        <v xml:space="preserve">CONSTRUTORA MARDIFI LTDA - EPP </v>
      </c>
      <c r="I45" s="15" t="str">
        <f>'2º TRIMESTRE'!I45</f>
        <v>6-028/21</v>
      </c>
      <c r="J45" s="52">
        <f>'2º TRIMESTRE'!J45</f>
        <v>44391</v>
      </c>
      <c r="K45" s="15">
        <f>'2º TRIMESTRE'!K45</f>
        <v>790</v>
      </c>
      <c r="L45" s="82">
        <f>'2º TRIMESTRE'!L45</f>
        <v>5538433.2699999996</v>
      </c>
      <c r="M45" s="52">
        <f t="shared" si="0"/>
        <v>45181</v>
      </c>
      <c r="N45" s="15">
        <f>'2º TRIMESTRE'!N45</f>
        <v>0</v>
      </c>
      <c r="O45" s="82">
        <f>'2º TRIMESTRE'!O45+247464.71</f>
        <v>1171448.29</v>
      </c>
      <c r="P45" s="82">
        <f>'2º TRIMESTRE'!P45</f>
        <v>0</v>
      </c>
      <c r="Q45" s="15" t="str">
        <f>'2º TRIMESTRE'!Q45</f>
        <v>3.3.90.39</v>
      </c>
      <c r="R45" s="82">
        <f>'2º TRIMESTRE'!R45+628394.91</f>
        <v>1501021.06</v>
      </c>
      <c r="S45" s="82">
        <v>485082.86</v>
      </c>
      <c r="T45" s="82">
        <f>'2º TRIMESTRE'!T45+S45</f>
        <v>889751.71</v>
      </c>
      <c r="U45" s="82" t="e">
        <f>'2º TRIMESTRE'!U45+S45</f>
        <v>#REF!</v>
      </c>
      <c r="V45" s="15" t="str">
        <f>'2º TRIMESTRE'!V45</f>
        <v>andamento</v>
      </c>
      <c r="W45" s="45"/>
    </row>
    <row r="46" spans="1:23" ht="21.45">
      <c r="A46" s="14" t="str">
        <f>'2º TRIMESTRE'!A46</f>
        <v>CONCORRÊNCIA Licitação: 2/2020</v>
      </c>
      <c r="B46" s="14" t="str">
        <f>'2º TRIMESTRE'!B46</f>
        <v>CONTRATAÇÃO DOS SERVIÇOS DE MANUTENÇÃO CORRETIVA DO SISTEMA VIÁRIO DO RECIFE RPA 01</v>
      </c>
      <c r="C46" s="14">
        <f>'2º TRIMESTRE'!C46</f>
        <v>0</v>
      </c>
      <c r="D46" s="14">
        <f>'2º TRIMESTRE'!D46</f>
        <v>0</v>
      </c>
      <c r="E46" s="82">
        <f>'2º TRIMESTRE'!E46</f>
        <v>0</v>
      </c>
      <c r="F46" s="82">
        <f>'2º TRIMESTRE'!F46</f>
        <v>0</v>
      </c>
      <c r="G46" s="15" t="str">
        <f>'2º TRIMESTRE'!G46</f>
        <v>23.742.620/0001-00</v>
      </c>
      <c r="H46" s="14" t="str">
        <f>'2º TRIMESTRE'!H46</f>
        <v>INSTTALE ENGENHARIA LTDA</v>
      </c>
      <c r="I46" s="15" t="str">
        <f>'2º TRIMESTRE'!I46</f>
        <v>6-029/20</v>
      </c>
      <c r="J46" s="52">
        <f>'2º TRIMESTRE'!J46</f>
        <v>44105</v>
      </c>
      <c r="K46" s="15">
        <f>'2º TRIMESTRE'!K46</f>
        <v>760</v>
      </c>
      <c r="L46" s="82">
        <f>'2º TRIMESTRE'!L46</f>
        <v>6329253.0300000003</v>
      </c>
      <c r="M46" s="52">
        <f t="shared" si="0"/>
        <v>44865</v>
      </c>
      <c r="N46" s="15">
        <f>'2º TRIMESTRE'!N46</f>
        <v>0</v>
      </c>
      <c r="O46" s="82">
        <f>'2º TRIMESTRE'!O46</f>
        <v>0</v>
      </c>
      <c r="P46" s="82">
        <f>'2º TRIMESTRE'!P46</f>
        <v>707143.97</v>
      </c>
      <c r="Q46" s="15" t="str">
        <f>'2º TRIMESTRE'!Q46</f>
        <v>3.3.90.39</v>
      </c>
      <c r="R46" s="82">
        <f>'2º TRIMESTRE'!R46+13332852.84</f>
        <v>16195650.1</v>
      </c>
      <c r="S46" s="82">
        <v>4506258.4400000004</v>
      </c>
      <c r="T46" s="82">
        <f>'2º TRIMESTRE'!T46+S46</f>
        <v>4631485.9300000006</v>
      </c>
      <c r="U46" s="82" t="e">
        <f>'2º TRIMESTRE'!U46+S46</f>
        <v>#REF!</v>
      </c>
      <c r="V46" s="15" t="str">
        <f>'2º TRIMESTRE'!V46</f>
        <v>andamento</v>
      </c>
      <c r="W46" s="45"/>
    </row>
    <row r="47" spans="1:23" ht="53.6">
      <c r="A47" s="14" t="str">
        <f>'2º TRIMESTRE'!A47</f>
        <v>CONCORRÊNCIA Licitação: 16/2020</v>
      </c>
      <c r="B47" s="14" t="str">
        <f>'2º TRIMESTRE'!B47</f>
        <v>EXECUÇÃO DE SERVIÇOS DE REQUALIFICAÇÃO MANUTENÇÃO PREVENTIVA E CORRETIVA DE PRAÇAS, PARQUES E ÁREAS VERDES CANTEIROS DE AVENIDAS E REFÚGIOS DA CIDADE DO RECIFE RPAS 4,5 E 6</v>
      </c>
      <c r="C47" s="14">
        <f>'2º TRIMESTRE'!C47</f>
        <v>0</v>
      </c>
      <c r="D47" s="14">
        <f>'2º TRIMESTRE'!D47</f>
        <v>0</v>
      </c>
      <c r="E47" s="82">
        <f>'2º TRIMESTRE'!E47</f>
        <v>0</v>
      </c>
      <c r="F47" s="82">
        <f>'2º TRIMESTRE'!F47</f>
        <v>0</v>
      </c>
      <c r="G47" s="15" t="str">
        <f>'2º TRIMESTRE'!G47</f>
        <v>10.698.641/0001-15</v>
      </c>
      <c r="H47" s="14" t="str">
        <f>'2º TRIMESTRE'!H47</f>
        <v>CONSTRUTORA MASTER EIRELI ME</v>
      </c>
      <c r="I47" s="15" t="str">
        <f>'2º TRIMESTRE'!I47</f>
        <v>6-029/21</v>
      </c>
      <c r="J47" s="52">
        <f>'2º TRIMESTRE'!J47</f>
        <v>44391</v>
      </c>
      <c r="K47" s="15">
        <f>'2º TRIMESTRE'!K47</f>
        <v>790</v>
      </c>
      <c r="L47" s="82">
        <f>'2º TRIMESTRE'!L47</f>
        <v>6400029.5199999996</v>
      </c>
      <c r="M47" s="52">
        <f t="shared" si="0"/>
        <v>45181</v>
      </c>
      <c r="N47" s="15">
        <f>'2º TRIMESTRE'!N47</f>
        <v>0</v>
      </c>
      <c r="O47" s="82">
        <f>'2º TRIMESTRE'!O47</f>
        <v>1321148.75</v>
      </c>
      <c r="P47" s="82">
        <f>'2º TRIMESTRE'!P47</f>
        <v>0</v>
      </c>
      <c r="Q47" s="15" t="str">
        <f>'2º TRIMESTRE'!Q47</f>
        <v>3.3.90.39</v>
      </c>
      <c r="R47" s="82">
        <f>'2º TRIMESTRE'!R47+1854555.83</f>
        <v>3550577.4400000004</v>
      </c>
      <c r="S47" s="82">
        <v>1916374.97</v>
      </c>
      <c r="T47" s="82">
        <f>'2º TRIMESTRE'!T47+S47</f>
        <v>2415509.54</v>
      </c>
      <c r="U47" s="82" t="e">
        <f>'2º TRIMESTRE'!U47+S47</f>
        <v>#REF!</v>
      </c>
      <c r="V47" s="15" t="str">
        <f>'2º TRIMESTRE'!V47</f>
        <v>andamento</v>
      </c>
      <c r="W47" s="45"/>
    </row>
    <row r="48" spans="1:23" ht="32.15">
      <c r="A48" s="14" t="str">
        <f>'2º TRIMESTRE'!A48</f>
        <v>CONCORRÊNCIA Licitação: 2/2020</v>
      </c>
      <c r="B48" s="14" t="str">
        <f>'2º TRIMESTRE'!B48</f>
        <v>CONTRATAÇÃO DOS SERVIÇOS DE MANUTENÇÃO CORRETIVA DO SISTEMA VIÁRIO DO RECIFE RPA 02 E 03</v>
      </c>
      <c r="C48" s="14">
        <f>'2º TRIMESTRE'!C48</f>
        <v>0</v>
      </c>
      <c r="D48" s="14">
        <f>'2º TRIMESTRE'!D48</f>
        <v>0</v>
      </c>
      <c r="E48" s="82">
        <f>'2º TRIMESTRE'!E48</f>
        <v>0</v>
      </c>
      <c r="F48" s="82">
        <f>'2º TRIMESTRE'!F48</f>
        <v>0</v>
      </c>
      <c r="G48" s="15" t="str">
        <f>'2º TRIMESTRE'!G48</f>
        <v>00.999.591/0001-52</v>
      </c>
      <c r="H48" s="14" t="str">
        <f>'2º TRIMESTRE'!H48</f>
        <v xml:space="preserve">AGC CONSTRUTORA E EMPREENDIMENTOS LTDA                      </v>
      </c>
      <c r="I48" s="15" t="str">
        <f>'2º TRIMESTRE'!I48</f>
        <v>6-030/20</v>
      </c>
      <c r="J48" s="52">
        <f>'2º TRIMESTRE'!J48</f>
        <v>44130</v>
      </c>
      <c r="K48" s="15">
        <f>'2º TRIMESTRE'!K48</f>
        <v>760</v>
      </c>
      <c r="L48" s="82">
        <f>'2º TRIMESTRE'!L48</f>
        <v>9905518.1799999997</v>
      </c>
      <c r="M48" s="52">
        <f t="shared" si="0"/>
        <v>44890</v>
      </c>
      <c r="N48" s="15">
        <f>'2º TRIMESTRE'!N48</f>
        <v>0</v>
      </c>
      <c r="O48" s="82">
        <f>'2º TRIMESTRE'!O48</f>
        <v>100704.67</v>
      </c>
      <c r="P48" s="82">
        <f>'2º TRIMESTRE'!P48</f>
        <v>1135184.8</v>
      </c>
      <c r="Q48" s="15" t="str">
        <f>'2º TRIMESTRE'!Q48</f>
        <v>3.3.90.39</v>
      </c>
      <c r="R48" s="82">
        <f>'2º TRIMESTRE'!R48</f>
        <v>5811516.5199999996</v>
      </c>
      <c r="S48" s="82">
        <v>0</v>
      </c>
      <c r="T48" s="82">
        <f>'2º TRIMESTRE'!T48+S48</f>
        <v>543187.5</v>
      </c>
      <c r="U48" s="82" t="e">
        <f>'2º TRIMESTRE'!U48+S48</f>
        <v>#REF!</v>
      </c>
      <c r="V48" s="15" t="str">
        <f>'2º TRIMESTRE'!V48</f>
        <v>andamento</v>
      </c>
      <c r="W48" s="45"/>
    </row>
    <row r="49" spans="1:23" ht="32.15">
      <c r="A49" s="19" t="str">
        <f>'2º TRIMESTRE'!A49</f>
        <v>CONCORRÊNCIA Licitação: 2/2020</v>
      </c>
      <c r="B49" s="19" t="str">
        <f>'2º TRIMESTRE'!B49</f>
        <v>CONTRATAÇÃO DOS SERVIÇOS DE MANUTENÇÃO CORRETIVA DO SISTEMA VIÁRIO DO RECIFE RPA 04 E 05</v>
      </c>
      <c r="C49" s="19">
        <f>'2º TRIMESTRE'!C49</f>
        <v>0</v>
      </c>
      <c r="D49" s="19">
        <f>'2º TRIMESTRE'!D49</f>
        <v>0</v>
      </c>
      <c r="E49" s="93">
        <f>'2º TRIMESTRE'!E49</f>
        <v>0</v>
      </c>
      <c r="F49" s="93">
        <f>'2º TRIMESTRE'!F49</f>
        <v>0</v>
      </c>
      <c r="G49" s="17" t="str">
        <f>'2º TRIMESTRE'!G49</f>
        <v>23.742.620/0001-00</v>
      </c>
      <c r="H49" s="19" t="str">
        <f>'2º TRIMESTRE'!H49</f>
        <v>INSTTALE ENGENHARIA LTDA</v>
      </c>
      <c r="I49" s="17" t="str">
        <f>'2º TRIMESTRE'!I49</f>
        <v>6-031/20</v>
      </c>
      <c r="J49" s="81">
        <f>'2º TRIMESTRE'!J49</f>
        <v>44130</v>
      </c>
      <c r="K49" s="17">
        <f>'2º TRIMESTRE'!K49</f>
        <v>760</v>
      </c>
      <c r="L49" s="93">
        <f>'2º TRIMESTRE'!L49</f>
        <v>12232966.380000001</v>
      </c>
      <c r="M49" s="81">
        <f t="shared" si="0"/>
        <v>45255</v>
      </c>
      <c r="N49" s="17">
        <f>'2º TRIMESTRE'!N49+365</f>
        <v>365</v>
      </c>
      <c r="O49" s="93">
        <f>'2º TRIMESTRE'!O49+14863992.96</f>
        <v>15079505.24</v>
      </c>
      <c r="P49" s="93">
        <f>'2º TRIMESTRE'!P49</f>
        <v>1362845.01</v>
      </c>
      <c r="Q49" s="17" t="str">
        <f>'2º TRIMESTRE'!Q49</f>
        <v>3.3.90.39</v>
      </c>
      <c r="R49" s="93">
        <f>'2º TRIMESTRE'!R49+2594843.48</f>
        <v>10349479.27</v>
      </c>
      <c r="S49" s="93">
        <v>2676401.9</v>
      </c>
      <c r="T49" s="93">
        <f>'2º TRIMESTRE'!T49+S49</f>
        <v>2970901.26</v>
      </c>
      <c r="U49" s="93" t="e">
        <f>'2º TRIMESTRE'!U49+S49</f>
        <v>#REF!</v>
      </c>
      <c r="V49" s="17" t="str">
        <f>'2º TRIMESTRE'!V49</f>
        <v>andamento</v>
      </c>
      <c r="W49" s="45"/>
    </row>
    <row r="50" spans="1:23" ht="21.45">
      <c r="A50" s="19" t="str">
        <f>'2º TRIMESTRE'!A50</f>
        <v>CONCORRÊNCIA Licitação: 2/2020</v>
      </c>
      <c r="B50" s="19" t="str">
        <f>'2º TRIMESTRE'!B50</f>
        <v>CONTRATAÇÃO DOS SERVIÇOS DE MANUTENÇÃO CORRETIVA DO SISTEMA VIÁRIO DO RECIFE RPA 06</v>
      </c>
      <c r="C50" s="19">
        <f>'2º TRIMESTRE'!C50</f>
        <v>0</v>
      </c>
      <c r="D50" s="19">
        <f>'2º TRIMESTRE'!D50</f>
        <v>0</v>
      </c>
      <c r="E50" s="93">
        <f>'2º TRIMESTRE'!E50</f>
        <v>0</v>
      </c>
      <c r="F50" s="93">
        <f>'2º TRIMESTRE'!F50</f>
        <v>0</v>
      </c>
      <c r="G50" s="17" t="str">
        <f>'2º TRIMESTRE'!G50</f>
        <v>40.882.060/0001-08</v>
      </c>
      <c r="H50" s="19" t="str">
        <f>'2º TRIMESTRE'!H50</f>
        <v>LIDERMAC CONSTRUCOES E EQUIPAMENTOS LTDA</v>
      </c>
      <c r="I50" s="17" t="str">
        <f>'2º TRIMESTRE'!I50</f>
        <v>6-032/20</v>
      </c>
      <c r="J50" s="81">
        <f>'2º TRIMESTRE'!J50</f>
        <v>44130</v>
      </c>
      <c r="K50" s="17">
        <f>'2º TRIMESTRE'!K50</f>
        <v>760</v>
      </c>
      <c r="L50" s="93">
        <f>'2º TRIMESTRE'!L50</f>
        <v>10773413.109999999</v>
      </c>
      <c r="M50" s="81">
        <f t="shared" si="0"/>
        <v>44890</v>
      </c>
      <c r="N50" s="17">
        <f>'2º TRIMESTRE'!N50</f>
        <v>0</v>
      </c>
      <c r="O50" s="93">
        <f>'2º TRIMESTRE'!O50</f>
        <v>0</v>
      </c>
      <c r="P50" s="93">
        <f>'2º TRIMESTRE'!P50</f>
        <v>3401715.99</v>
      </c>
      <c r="Q50" s="17" t="str">
        <f>'2º TRIMESTRE'!Q50</f>
        <v>3.3.90.39</v>
      </c>
      <c r="R50" s="93">
        <f>'2º TRIMESTRE'!R50+55397.04</f>
        <v>4786411.21</v>
      </c>
      <c r="S50" s="93">
        <v>55397.04</v>
      </c>
      <c r="T50" s="93">
        <f>'2º TRIMESTRE'!T50+S50</f>
        <v>278924.25</v>
      </c>
      <c r="U50" s="93" t="e">
        <f>'2º TRIMESTRE'!U50+S50</f>
        <v>#REF!</v>
      </c>
      <c r="V50" s="17" t="str">
        <f>'2º TRIMESTRE'!V50</f>
        <v>andamento</v>
      </c>
      <c r="W50" s="45"/>
    </row>
    <row r="51" spans="1:23" ht="53.6">
      <c r="A51" s="14" t="str">
        <f>'2º TRIMESTRE'!A51</f>
        <v>Tomada de Preço Licitação: 003/2021</v>
      </c>
      <c r="B51" s="14" t="str">
        <f>'2º TRIMESTRE'!B51</f>
        <v>CONTRATAÇÃO DE EMPRESA DE DE ENGENHARIA ESPECIALIZADA EM ILUMINAÇÃO PUBLICA. PARA INSTALAÇÃO DE LUMINÁRIAS/PROJETORES COM TECNOLOGIA LED NA CIDADE DO RECIFE/PE COM FORNECIMENTO DE ACESSÓRIOS</v>
      </c>
      <c r="C51" s="14" t="str">
        <f>'2º TRIMESTRE'!C51</f>
        <v>532561/2020</v>
      </c>
      <c r="D51" s="14" t="str">
        <f>'2º TRIMESTRE'!D51</f>
        <v>FINISA</v>
      </c>
      <c r="E51" s="82">
        <f>'2º TRIMESTRE'!E51</f>
        <v>50000000</v>
      </c>
      <c r="F51" s="82">
        <f>'2º TRIMESTRE'!F51</f>
        <v>0</v>
      </c>
      <c r="G51" s="15" t="str">
        <f>'2º TRIMESTRE'!G51</f>
        <v>01.346.561/0001-00</v>
      </c>
      <c r="H51" s="14" t="str">
        <f>'2º TRIMESTRE'!H51</f>
        <v>VASCONCELOS E SANTOS LTDA</v>
      </c>
      <c r="I51" s="15" t="str">
        <f>'2º TRIMESTRE'!I51</f>
        <v>6-037/21</v>
      </c>
      <c r="J51" s="52">
        <f>'2º TRIMESTRE'!J51</f>
        <v>44495</v>
      </c>
      <c r="K51" s="15">
        <f>'2º TRIMESTRE'!K51</f>
        <v>395</v>
      </c>
      <c r="L51" s="82">
        <f>'2º TRIMESTRE'!L51</f>
        <v>1048809.3999999999</v>
      </c>
      <c r="M51" s="52">
        <f t="shared" si="0"/>
        <v>44890</v>
      </c>
      <c r="N51" s="15">
        <f>'2º TRIMESTRE'!N51</f>
        <v>0</v>
      </c>
      <c r="O51" s="82">
        <f>'2º TRIMESTRE'!O51</f>
        <v>0</v>
      </c>
      <c r="P51" s="82">
        <f>'2º TRIMESTRE'!P51</f>
        <v>0</v>
      </c>
      <c r="Q51" s="15" t="str">
        <f>'2º TRIMESTRE'!Q51</f>
        <v>4.4.90.39</v>
      </c>
      <c r="R51" s="82">
        <f>'2º TRIMESTRE'!R51+1413913.18</f>
        <v>1890424.88</v>
      </c>
      <c r="S51" s="82">
        <v>1367386.64</v>
      </c>
      <c r="T51" s="82">
        <f>'2º TRIMESTRE'!T51+S51</f>
        <v>1367386.64</v>
      </c>
      <c r="U51" s="82" t="e">
        <f>'2º TRIMESTRE'!U51+S51</f>
        <v>#REF!</v>
      </c>
      <c r="V51" s="15" t="str">
        <f>'2º TRIMESTRE'!V51</f>
        <v>andamento</v>
      </c>
      <c r="W51" s="45"/>
    </row>
    <row r="52" spans="1:23" ht="42.9">
      <c r="A52" s="14" t="str">
        <f>'2º TRIMESTRE'!A52</f>
        <v>Tomada de Preço Licitação: 004/2021</v>
      </c>
      <c r="B52" s="14" t="str">
        <f>'2º TRIMESTRE'!B52</f>
        <v>CONTRATACAO DE EMPRESA DE ENGENHARIA PARA PRESTACAO DOS SERVICOS DE MANUTENCAO DO ENROCAMENTO DE PEDRAS DA PROTECAO EXISTENTE NA ORLA DE BOA VIAGEM</v>
      </c>
      <c r="C52" s="14">
        <f>'2º TRIMESTRE'!C52</f>
        <v>0</v>
      </c>
      <c r="D52" s="14">
        <f>'2º TRIMESTRE'!D52</f>
        <v>0</v>
      </c>
      <c r="E52" s="82">
        <f>'2º TRIMESTRE'!E52</f>
        <v>0</v>
      </c>
      <c r="F52" s="82">
        <f>'2º TRIMESTRE'!F52</f>
        <v>0</v>
      </c>
      <c r="G52" s="15" t="str">
        <f>'2º TRIMESTRE'!G52</f>
        <v>70.086.111/0001-48</v>
      </c>
      <c r="H52" s="14" t="str">
        <f>'2º TRIMESTRE'!H52</f>
        <v>COASTAL - CONSTRUÇÕES E SOLUÇÕES TÉCNICAS AMBIENTAIS EIRELI</v>
      </c>
      <c r="I52" s="15" t="str">
        <f>'2º TRIMESTRE'!I52</f>
        <v>6-039/21</v>
      </c>
      <c r="J52" s="52">
        <f>'2º TRIMESTRE'!J52</f>
        <v>44455</v>
      </c>
      <c r="K52" s="15">
        <f>'2º TRIMESTRE'!K52</f>
        <v>455</v>
      </c>
      <c r="L52" s="82">
        <f>'2º TRIMESTRE'!L52</f>
        <v>1460562.75</v>
      </c>
      <c r="M52" s="52">
        <f t="shared" si="0"/>
        <v>44910</v>
      </c>
      <c r="N52" s="15">
        <f>'2º TRIMESTRE'!N52</f>
        <v>0</v>
      </c>
      <c r="O52" s="82">
        <f>'2º TRIMESTRE'!O52</f>
        <v>225202.39</v>
      </c>
      <c r="P52" s="82">
        <f>'2º TRIMESTRE'!P52</f>
        <v>0</v>
      </c>
      <c r="Q52" s="15" t="str">
        <f>'2º TRIMESTRE'!Q52</f>
        <v>3.3.90.39</v>
      </c>
      <c r="R52" s="82">
        <f>'2º TRIMESTRE'!R52</f>
        <v>609894.82000000007</v>
      </c>
      <c r="S52" s="82">
        <v>0</v>
      </c>
      <c r="T52" s="82">
        <f>'2º TRIMESTRE'!T52+S52</f>
        <v>259258.04</v>
      </c>
      <c r="U52" s="82" t="e">
        <f>'2º TRIMESTRE'!U52+S52</f>
        <v>#REF!</v>
      </c>
      <c r="V52" s="15" t="str">
        <f>'2º TRIMESTRE'!V52</f>
        <v>andamento</v>
      </c>
      <c r="W52" s="45"/>
    </row>
    <row r="53" spans="1:23" ht="42.9">
      <c r="A53" s="14" t="str">
        <f>'2º TRIMESTRE'!A53</f>
        <v>Concorrência Licitação: 009/2021</v>
      </c>
      <c r="B53" s="14" t="str">
        <f>'2º TRIMESTRE'!B53</f>
        <v>EXECUÇÃO DE SERVIÇOS DE RECUPERAÇÃO DE PASSARELAS, PONTILHÕES E ELEMENTOS LIMITADORES DE ESPAÇO OU PROTEÇÃO NAS DIVERSAS RPAS DA CIDADE DO RECIFE</v>
      </c>
      <c r="C53" s="14">
        <f>'2º TRIMESTRE'!C53</f>
        <v>0</v>
      </c>
      <c r="D53" s="14">
        <f>'2º TRIMESTRE'!D53</f>
        <v>0</v>
      </c>
      <c r="E53" s="82">
        <f>'2º TRIMESTRE'!E53</f>
        <v>0</v>
      </c>
      <c r="F53" s="82">
        <f>'2º TRIMESTRE'!F53</f>
        <v>0</v>
      </c>
      <c r="G53" s="15" t="str">
        <f>'2º TRIMESTRE'!G53</f>
        <v>10.811.370/0001-62</v>
      </c>
      <c r="H53" s="14" t="str">
        <f>'2º TRIMESTRE'!H53</f>
        <v>GUERRA CONSTRUCOES LTDA</v>
      </c>
      <c r="I53" s="15" t="str">
        <f>'2º TRIMESTRE'!I53</f>
        <v>6-042/21</v>
      </c>
      <c r="J53" s="52">
        <f>'2º TRIMESTRE'!J53</f>
        <v>44516</v>
      </c>
      <c r="K53" s="15">
        <f>'2º TRIMESTRE'!K53</f>
        <v>790</v>
      </c>
      <c r="L53" s="82">
        <f>'2º TRIMESTRE'!L53</f>
        <v>4874717.78</v>
      </c>
      <c r="M53" s="52">
        <f t="shared" si="0"/>
        <v>45306</v>
      </c>
      <c r="N53" s="15">
        <f>'2º TRIMESTRE'!N53</f>
        <v>0</v>
      </c>
      <c r="O53" s="82">
        <f>'2º TRIMESTRE'!O53</f>
        <v>0</v>
      </c>
      <c r="P53" s="82">
        <f>'2º TRIMESTRE'!P53</f>
        <v>0</v>
      </c>
      <c r="Q53" s="15" t="str">
        <f>'2º TRIMESTRE'!Q53</f>
        <v>3.3.90.39</v>
      </c>
      <c r="R53" s="82">
        <f>'2º TRIMESTRE'!R53</f>
        <v>2103769.5699999998</v>
      </c>
      <c r="S53" s="82">
        <v>0</v>
      </c>
      <c r="T53" s="82">
        <f>'2º TRIMESTRE'!T53+S53</f>
        <v>955134.58</v>
      </c>
      <c r="U53" s="82" t="e">
        <f>'2º TRIMESTRE'!U53+S53</f>
        <v>#REF!</v>
      </c>
      <c r="V53" s="15" t="str">
        <f>'2º TRIMESTRE'!V53</f>
        <v>andamento</v>
      </c>
      <c r="W53" s="45"/>
    </row>
    <row r="54" spans="1:23" ht="64.3">
      <c r="A54" s="14" t="str">
        <f>'2º TRIMESTRE'!A54</f>
        <v>TOMADA DE PREÇOS / 005/2020</v>
      </c>
      <c r="B54" s="14" t="str">
        <f>'2º TRIMESTRE'!B54</f>
        <v>CONTRATACAO DE DE EMPRESA DE ENGENHARIA PARA EXECUCAO DE SERVICOS DE MANUTENCAO DE FONTES. COM BOMBAS CENTRIFUGAS DE 5 A 25 CV. ILUMINACAO ESPECIAL E OPERACAO AUTOMATIZADA POR QUADRO DE COMANDO INTERRUPTO HORARIO</v>
      </c>
      <c r="C54" s="14">
        <f>'2º TRIMESTRE'!C54</f>
        <v>0</v>
      </c>
      <c r="D54" s="14">
        <f>'2º TRIMESTRE'!D54</f>
        <v>0</v>
      </c>
      <c r="E54" s="82">
        <f>'2º TRIMESTRE'!E54</f>
        <v>0</v>
      </c>
      <c r="F54" s="82">
        <f>'2º TRIMESTRE'!F54</f>
        <v>0</v>
      </c>
      <c r="G54" s="15" t="str">
        <f>'2º TRIMESTRE'!G54</f>
        <v>06.157.352/0001-31</v>
      </c>
      <c r="H54" s="14" t="str">
        <f>'2º TRIMESTRE'!H54</f>
        <v>ROBERTO &amp; JAIR COMÉRCIO E SERVIÇOS LTDA-ME</v>
      </c>
      <c r="I54" s="15" t="str">
        <f>'2º TRIMESTRE'!I54</f>
        <v>6-043/20</v>
      </c>
      <c r="J54" s="52">
        <f>'2º TRIMESTRE'!J54</f>
        <v>44138</v>
      </c>
      <c r="K54" s="15">
        <f>'2º TRIMESTRE'!K54</f>
        <v>760</v>
      </c>
      <c r="L54" s="82">
        <f>'2º TRIMESTRE'!L54</f>
        <v>536156.1</v>
      </c>
      <c r="M54" s="52">
        <f t="shared" si="0"/>
        <v>44898</v>
      </c>
      <c r="N54" s="15">
        <f>'2º TRIMESTRE'!N54</f>
        <v>0</v>
      </c>
      <c r="O54" s="82">
        <f>'2º TRIMESTRE'!O54</f>
        <v>82719.179999999993</v>
      </c>
      <c r="P54" s="82">
        <f>'2º TRIMESTRE'!P54</f>
        <v>0</v>
      </c>
      <c r="Q54" s="15" t="str">
        <f>'2º TRIMESTRE'!Q54</f>
        <v>3.3.90.39</v>
      </c>
      <c r="R54" s="82">
        <f>'2º TRIMESTRE'!R54</f>
        <v>415293.33</v>
      </c>
      <c r="S54" s="82">
        <v>0</v>
      </c>
      <c r="T54" s="82">
        <f>'2º TRIMESTRE'!T54+S54</f>
        <v>49382.99</v>
      </c>
      <c r="U54" s="82" t="e">
        <f>'2º TRIMESTRE'!U54+S54</f>
        <v>#REF!</v>
      </c>
      <c r="V54" s="15" t="str">
        <f>'2º TRIMESTRE'!V54</f>
        <v>andamento</v>
      </c>
      <c r="W54" s="45"/>
    </row>
    <row r="55" spans="1:23" ht="75">
      <c r="A55" s="14" t="str">
        <f>'2º TRIMESTRE'!A55</f>
        <v>CONCORRÊNCIA / nº 006/2020</v>
      </c>
      <c r="B55" s="14" t="str">
        <f>'2º TRIMESTRE'!B55</f>
        <v>CONTRATAÇÃO DE EMPRESA DE ENGENHARIA ESPECIALIZADA EM ILUMINAÇÃO PÚBLICA, PARA EXECUÇÃO DOS SERVIÇOS DE MANUTENÇÃO CONTÍNUA, CORRETIVA E PREVENTIVA, DO SISTEMA DE ILUMINAÇÃO PÚBLICA ESPECIAL DA CIDADE DO RECIFE, EM POSTES ACIMA DE 12 METROS DE ALTURA</v>
      </c>
      <c r="C55" s="14">
        <f>'2º TRIMESTRE'!C55</f>
        <v>0</v>
      </c>
      <c r="D55" s="14">
        <f>'2º TRIMESTRE'!D55</f>
        <v>0</v>
      </c>
      <c r="E55" s="82">
        <f>'2º TRIMESTRE'!E55</f>
        <v>0</v>
      </c>
      <c r="F55" s="82">
        <f>'2º TRIMESTRE'!F55</f>
        <v>0</v>
      </c>
      <c r="G55" s="15" t="str">
        <f>'2º TRIMESTRE'!G55</f>
        <v>01.346.561/0001-00</v>
      </c>
      <c r="H55" s="14" t="str">
        <f>'2º TRIMESTRE'!H55</f>
        <v>VASCONCELOS E SANTOS LTDA</v>
      </c>
      <c r="I55" s="15" t="str">
        <f>'2º TRIMESTRE'!I55</f>
        <v>6-044/20</v>
      </c>
      <c r="J55" s="52">
        <f>'2º TRIMESTRE'!J55</f>
        <v>44162</v>
      </c>
      <c r="K55" s="15">
        <f>'2º TRIMESTRE'!K55</f>
        <v>790</v>
      </c>
      <c r="L55" s="82">
        <f>'2º TRIMESTRE'!L55</f>
        <v>1704583.5</v>
      </c>
      <c r="M55" s="52">
        <f t="shared" si="0"/>
        <v>44952</v>
      </c>
      <c r="N55" s="15">
        <f>'2º TRIMESTRE'!N55</f>
        <v>0</v>
      </c>
      <c r="O55" s="82">
        <f>'2º TRIMESTRE'!O55</f>
        <v>0</v>
      </c>
      <c r="P55" s="82">
        <f>'2º TRIMESTRE'!P55</f>
        <v>0</v>
      </c>
      <c r="Q55" s="15" t="str">
        <f>'2º TRIMESTRE'!Q55</f>
        <v>3.3.90.39</v>
      </c>
      <c r="R55" s="82">
        <f>'2º TRIMESTRE'!R55</f>
        <v>866191.14</v>
      </c>
      <c r="S55" s="82">
        <v>0</v>
      </c>
      <c r="T55" s="82">
        <f>'2º TRIMESTRE'!T55+S55</f>
        <v>168638.6</v>
      </c>
      <c r="U55" s="82" t="e">
        <f>'2º TRIMESTRE'!U55+S55</f>
        <v>#REF!</v>
      </c>
      <c r="V55" s="15" t="str">
        <f>'2º TRIMESTRE'!V55</f>
        <v>andamento</v>
      </c>
      <c r="W55" s="45"/>
    </row>
    <row r="56" spans="1:23" ht="32.15">
      <c r="A56" s="14" t="str">
        <f>'2º TRIMESTRE'!A56</f>
        <v>DISP 004/2021</v>
      </c>
      <c r="B56" s="14" t="str">
        <f>'2º TRIMESTRE'!B56</f>
        <v>CONTRATACAO DE SERVICOS EM CARATER EMERGENCIAL DE COLETA E LIMPEZA URBANA - LOTE 2</v>
      </c>
      <c r="C56" s="14">
        <f>'2º TRIMESTRE'!C56</f>
        <v>0</v>
      </c>
      <c r="D56" s="14">
        <f>'2º TRIMESTRE'!D56</f>
        <v>0</v>
      </c>
      <c r="E56" s="82">
        <f>'2º TRIMESTRE'!E56</f>
        <v>0</v>
      </c>
      <c r="F56" s="82">
        <f>'2º TRIMESTRE'!F56</f>
        <v>0</v>
      </c>
      <c r="G56" s="15" t="str">
        <f>'2º TRIMESTRE'!G56</f>
        <v>02.536.066/0015-21</v>
      </c>
      <c r="H56" s="14" t="str">
        <f>'2º TRIMESTRE'!H56</f>
        <v>VITAL ENGENHARIA AMBIENTAL S/A</v>
      </c>
      <c r="I56" s="15" t="str">
        <f>'2º TRIMESTRE'!I56</f>
        <v>6-044/21</v>
      </c>
      <c r="J56" s="52">
        <f>'2º TRIMESTRE'!J56</f>
        <v>44469</v>
      </c>
      <c r="K56" s="15">
        <f>'2º TRIMESTRE'!K56</f>
        <v>180</v>
      </c>
      <c r="L56" s="82">
        <f>'2º TRIMESTRE'!L56</f>
        <v>76577831.530000001</v>
      </c>
      <c r="M56" s="52">
        <f t="shared" si="0"/>
        <v>44649</v>
      </c>
      <c r="N56" s="15">
        <f>'2º TRIMESTRE'!N56</f>
        <v>0</v>
      </c>
      <c r="O56" s="82">
        <f>'2º TRIMESTRE'!O56</f>
        <v>0</v>
      </c>
      <c r="P56" s="82">
        <f>'2º TRIMESTRE'!P56</f>
        <v>4813284.33</v>
      </c>
      <c r="Q56" s="15" t="str">
        <f>'2º TRIMESTRE'!Q56</f>
        <v>3.3.90.39</v>
      </c>
      <c r="R56" s="82">
        <f>'2º TRIMESTRE'!R56+209306.27</f>
        <v>64280335.850000001</v>
      </c>
      <c r="S56" s="82">
        <v>454601.73</v>
      </c>
      <c r="T56" s="82">
        <f>'2º TRIMESTRE'!T56+S56</f>
        <v>38866713.829999991</v>
      </c>
      <c r="U56" s="82" t="e">
        <f>'2º TRIMESTRE'!U56+S56</f>
        <v>#REF!</v>
      </c>
      <c r="V56" s="15" t="str">
        <f>'2º TRIMESTRE'!V56</f>
        <v>andamento</v>
      </c>
      <c r="W56" s="45"/>
    </row>
    <row r="57" spans="1:23" ht="64.3">
      <c r="A57" s="14" t="str">
        <f>'2º TRIMESTRE'!A57</f>
        <v>Pregão Eletrônico Licitação: 031/2021</v>
      </c>
      <c r="B57" s="14" t="str">
        <f>'2º TRIMESTRE'!B57</f>
        <v>CONTRATAÇÃO DE EMPRESA DE ENGENHARIA NA ÁREA DE GEOTÉCNIA PARA ENSAIO DE PENETRAÇÃO DE UM CONE ESTÁTICO DE AÇO COM MEDIDAS DE PRESSÕES NEUTRAS CPTU CONFORME PROCEDIMENTOS DA NORMA ASTM D 5778 95</v>
      </c>
      <c r="C57" s="14">
        <f>'2º TRIMESTRE'!C57</f>
        <v>0</v>
      </c>
      <c r="D57" s="14">
        <f>'2º TRIMESTRE'!D57</f>
        <v>0</v>
      </c>
      <c r="E57" s="82">
        <f>'2º TRIMESTRE'!E57</f>
        <v>0</v>
      </c>
      <c r="F57" s="82">
        <f>'2º TRIMESTRE'!F57</f>
        <v>0</v>
      </c>
      <c r="G57" s="15" t="str">
        <f>'2º TRIMESTRE'!G57</f>
        <v>18.968.880/0001-50</v>
      </c>
      <c r="H57" s="14" t="str">
        <f>'2º TRIMESTRE'!H57</f>
        <v>A1MC PROJETOS LTDA</v>
      </c>
      <c r="I57" s="15" t="str">
        <f>'2º TRIMESTRE'!I57</f>
        <v>6-045/21</v>
      </c>
      <c r="J57" s="52">
        <f>'2º TRIMESTRE'!J57</f>
        <v>44523</v>
      </c>
      <c r="K57" s="15">
        <f>'2º TRIMESTRE'!K57</f>
        <v>60</v>
      </c>
      <c r="L57" s="82">
        <f>'2º TRIMESTRE'!L57</f>
        <v>100000</v>
      </c>
      <c r="M57" s="52">
        <f t="shared" si="0"/>
        <v>44583</v>
      </c>
      <c r="N57" s="15">
        <f>'2º TRIMESTRE'!N57</f>
        <v>0</v>
      </c>
      <c r="O57" s="82">
        <f>'2º TRIMESTRE'!O57</f>
        <v>8966.94</v>
      </c>
      <c r="P57" s="82">
        <f>'2º TRIMESTRE'!P57</f>
        <v>0</v>
      </c>
      <c r="Q57" s="15" t="str">
        <f>'2º TRIMESTRE'!Q57</f>
        <v>3.3.90.39</v>
      </c>
      <c r="R57" s="82">
        <f>'2º TRIMESTRE'!R57</f>
        <v>108966.93000000001</v>
      </c>
      <c r="S57" s="82">
        <v>0</v>
      </c>
      <c r="T57" s="82">
        <f>'2º TRIMESTRE'!T57+S57</f>
        <v>45018.95</v>
      </c>
      <c r="U57" s="82" t="e">
        <f>'2º TRIMESTRE'!U57+S57</f>
        <v>#REF!</v>
      </c>
      <c r="V57" s="15" t="s">
        <v>190</v>
      </c>
      <c r="W57" s="45"/>
    </row>
    <row r="58" spans="1:23" ht="32.15">
      <c r="A58" s="14" t="str">
        <f>'2º TRIMESTRE'!A58</f>
        <v>CONCORRÊNCIA Licitação: 19/2019</v>
      </c>
      <c r="B58" s="14" t="str">
        <f>'2º TRIMESTRE'!B58</f>
        <v>SERVIÇOS DE MANUTENÇÃO DO SISTEMA DE MICRODRENAGEM DAS AGUAS PLUVIAIS DO MUNICIPIO DO RECIFE RPA 1</v>
      </c>
      <c r="C58" s="14">
        <f>'2º TRIMESTRE'!C58</f>
        <v>0</v>
      </c>
      <c r="D58" s="14">
        <f>'2º TRIMESTRE'!D58</f>
        <v>0</v>
      </c>
      <c r="E58" s="82">
        <f>'2º TRIMESTRE'!E58</f>
        <v>0</v>
      </c>
      <c r="F58" s="82">
        <f>'2º TRIMESTRE'!F58</f>
        <v>0</v>
      </c>
      <c r="G58" s="15" t="str">
        <f>'2º TRIMESTRE'!G58</f>
        <v>07.086.088/0001-55</v>
      </c>
      <c r="H58" s="14" t="str">
        <f>'2º TRIMESTRE'!H58</f>
        <v>SOLO CONSTRUCOES E TERRAPLANAGEM LTDA</v>
      </c>
      <c r="I58" s="15" t="str">
        <f>'2º TRIMESTRE'!I58</f>
        <v>6-048/20</v>
      </c>
      <c r="J58" s="52">
        <f>'2º TRIMESTRE'!J58</f>
        <v>44168</v>
      </c>
      <c r="K58" s="15">
        <f>'2º TRIMESTRE'!K58</f>
        <v>1125</v>
      </c>
      <c r="L58" s="82">
        <f>'2º TRIMESTRE'!L58</f>
        <v>16571981.609999999</v>
      </c>
      <c r="M58" s="52">
        <f t="shared" si="0"/>
        <v>45293</v>
      </c>
      <c r="N58" s="15">
        <f>'2º TRIMESTRE'!N58</f>
        <v>0</v>
      </c>
      <c r="O58" s="82">
        <f>'2º TRIMESTRE'!O58</f>
        <v>0</v>
      </c>
      <c r="P58" s="82">
        <f>'2º TRIMESTRE'!P58</f>
        <v>3759599.49</v>
      </c>
      <c r="Q58" s="15" t="str">
        <f>'2º TRIMESTRE'!Q58</f>
        <v>3.3.90.39</v>
      </c>
      <c r="R58" s="82">
        <f>'2º TRIMESTRE'!R58</f>
        <v>6982369.6500000004</v>
      </c>
      <c r="S58" s="82">
        <v>0</v>
      </c>
      <c r="T58" s="82">
        <f>'2º TRIMESTRE'!T58+S58</f>
        <v>1462517.9</v>
      </c>
      <c r="U58" s="82" t="e">
        <f>'2º TRIMESTRE'!U58+S58</f>
        <v>#REF!</v>
      </c>
      <c r="V58" s="15" t="str">
        <f>'2º TRIMESTRE'!V58</f>
        <v>andamento</v>
      </c>
      <c r="W58" s="45"/>
    </row>
    <row r="59" spans="1:23" ht="32.15">
      <c r="A59" s="14" t="str">
        <f>'2º TRIMESTRE'!A59</f>
        <v>DISP 003/2021</v>
      </c>
      <c r="B59" s="14" t="str">
        <f>'2º TRIMESTRE'!B59</f>
        <v>CONTRATACAO DE SERVICO. EM CARATER EMERGENCIAL. DE COLETA E LIMPEZA URBANA LOTE 1</v>
      </c>
      <c r="C59" s="14">
        <f>'2º TRIMESTRE'!C59</f>
        <v>0</v>
      </c>
      <c r="D59" s="14">
        <f>'2º TRIMESTRE'!D59</f>
        <v>0</v>
      </c>
      <c r="E59" s="82">
        <f>'2º TRIMESTRE'!E59</f>
        <v>0</v>
      </c>
      <c r="F59" s="82">
        <f>'2º TRIMESTRE'!F59</f>
        <v>0</v>
      </c>
      <c r="G59" s="15" t="str">
        <f>'2º TRIMESTRE'!G59</f>
        <v>12.854.865/0001-02</v>
      </c>
      <c r="H59" s="14" t="str">
        <f>'2º TRIMESTRE'!H59</f>
        <v>COELHO DE  ANDRADE ENGENHARIA LTDA</v>
      </c>
      <c r="I59" s="15" t="str">
        <f>'2º TRIMESTRE'!I59</f>
        <v>6-048/21</v>
      </c>
      <c r="J59" s="52">
        <f>'2º TRIMESTRE'!J59</f>
        <v>44469</v>
      </c>
      <c r="K59" s="15">
        <f>'2º TRIMESTRE'!K59</f>
        <v>180</v>
      </c>
      <c r="L59" s="82">
        <f>'2º TRIMESTRE'!L59</f>
        <v>26846364.449999999</v>
      </c>
      <c r="M59" s="52">
        <f t="shared" si="0"/>
        <v>44649</v>
      </c>
      <c r="N59" s="15">
        <f>'2º TRIMESTRE'!N59</f>
        <v>0</v>
      </c>
      <c r="O59" s="82">
        <f>'2º TRIMESTRE'!O59</f>
        <v>0</v>
      </c>
      <c r="P59" s="82">
        <f>'2º TRIMESTRE'!P59</f>
        <v>1905664.26</v>
      </c>
      <c r="Q59" s="15" t="str">
        <f>'2º TRIMESTRE'!Q59</f>
        <v>3.3.90.39</v>
      </c>
      <c r="R59" s="82">
        <f>'2º TRIMESTRE'!R59</f>
        <v>21900327</v>
      </c>
      <c r="S59" s="82">
        <v>0</v>
      </c>
      <c r="T59" s="82">
        <f>'2º TRIMESTRE'!T59+S59</f>
        <v>9132439.3599999994</v>
      </c>
      <c r="U59" s="82" t="e">
        <f>'2º TRIMESTRE'!U59+S59</f>
        <v>#REF!</v>
      </c>
      <c r="V59" s="15" t="str">
        <f>'2º TRIMESTRE'!V59</f>
        <v>andamento</v>
      </c>
      <c r="W59" s="45"/>
    </row>
    <row r="60" spans="1:23" ht="75">
      <c r="A60" s="14" t="str">
        <f>'2º TRIMESTRE'!A60</f>
        <v>CONCORRÊNCIA / nº 007/2019</v>
      </c>
      <c r="B60" s="14" t="str">
        <f>'2º TRIMESTRE'!B60</f>
        <v>EMPRESA DE ENGENHARIA ESPECIALIZADA EM ILUMINAÇÃO PÚBLICA, PARA FORNECIMENTO E INSTALAÇÃO DE EQUIPAMENTOS DE SEGURANÇA CONTRA VAZAMENTO DE CORRENTES ELÉTRICAS E ATERRAMENTO DOS POSTES DE ILUMINAÇÃO PUBLICA DAS PRAÇAS E PARQUES DA CIDADE DO RECIFE.</v>
      </c>
      <c r="C60" s="14">
        <f>'2º TRIMESTRE'!C60</f>
        <v>0</v>
      </c>
      <c r="D60" s="14">
        <f>'2º TRIMESTRE'!D60</f>
        <v>0</v>
      </c>
      <c r="E60" s="82">
        <f>'2º TRIMESTRE'!E60</f>
        <v>0</v>
      </c>
      <c r="F60" s="82">
        <f>'2º TRIMESTRE'!F60</f>
        <v>0</v>
      </c>
      <c r="G60" s="15" t="str">
        <f>'2º TRIMESTRE'!G60</f>
        <v>41.116.138/0001-38</v>
      </c>
      <c r="H60" s="14" t="str">
        <f>'2º TRIMESTRE'!H60</f>
        <v>REAL ENERGY LTDA</v>
      </c>
      <c r="I60" s="15" t="str">
        <f>'2º TRIMESTRE'!I60</f>
        <v>6-051/19</v>
      </c>
      <c r="J60" s="52">
        <f>'2º TRIMESTRE'!J60</f>
        <v>43769</v>
      </c>
      <c r="K60" s="15">
        <f>'2º TRIMESTRE'!K60</f>
        <v>760</v>
      </c>
      <c r="L60" s="82">
        <f>'2º TRIMESTRE'!L60</f>
        <v>2584195.6</v>
      </c>
      <c r="M60" s="52">
        <f t="shared" si="0"/>
        <v>44619</v>
      </c>
      <c r="N60" s="15">
        <f>'2º TRIMESTRE'!N60</f>
        <v>90</v>
      </c>
      <c r="O60" s="82">
        <f>'2º TRIMESTRE'!O60</f>
        <v>327163.7</v>
      </c>
      <c r="P60" s="82">
        <f>'2º TRIMESTRE'!P60</f>
        <v>-44558.22</v>
      </c>
      <c r="Q60" s="15" t="str">
        <f>'2º TRIMESTRE'!Q60</f>
        <v>3.3.90.39</v>
      </c>
      <c r="R60" s="82">
        <f>'2º TRIMESTRE'!R60+730993.56</f>
        <v>2782207.8600000003</v>
      </c>
      <c r="S60" s="82">
        <v>1130683.1100000001</v>
      </c>
      <c r="T60" s="82">
        <f>'2º TRIMESTRE'!T60+S60</f>
        <v>1196141.1800000002</v>
      </c>
      <c r="U60" s="82" t="e">
        <f>'2º TRIMESTRE'!U60+S60</f>
        <v>#REF!</v>
      </c>
      <c r="V60" s="15" t="str">
        <f>'2º TRIMESTRE'!V60</f>
        <v>encerrado</v>
      </c>
      <c r="W60" s="45"/>
    </row>
    <row r="61" spans="1:23" ht="64.3">
      <c r="A61" s="14" t="str">
        <f>'2º TRIMESTRE'!A61</f>
        <v>Pregão Eletrônico Licitação: 032/2021</v>
      </c>
      <c r="B61" s="14" t="str">
        <f>'2º TRIMESTRE'!B61</f>
        <v>CONTRATAÇÃO DE EMPRESA ESPECIALIZADA NA PRESTAÇÃO DE SERVIÇOS CONTÍNUOS DE PAISAGISMO E CONSERVAÇÃO PREVENTIVA E CORRETIVA DE PARQUES, PRAÇAS, JARDINS E ÁREAS VERDES PÚBLICAS NA CIDADE DO RECIFE - LOTE 01</v>
      </c>
      <c r="C61" s="14">
        <f>'2º TRIMESTRE'!C61</f>
        <v>0</v>
      </c>
      <c r="D61" s="14">
        <f>'2º TRIMESTRE'!D61</f>
        <v>0</v>
      </c>
      <c r="E61" s="82">
        <f>'2º TRIMESTRE'!E61</f>
        <v>0</v>
      </c>
      <c r="F61" s="82">
        <f>'2º TRIMESTRE'!F61</f>
        <v>0</v>
      </c>
      <c r="G61" s="15" t="str">
        <f>'2º TRIMESTRE'!G61</f>
        <v>08.963.533/0001-80</v>
      </c>
      <c r="H61" s="14" t="str">
        <f>'2º TRIMESTRE'!H61</f>
        <v>FAR COMERCIO E SERVIÇOS PAISAGISTICOS LTDA</v>
      </c>
      <c r="I61" s="15" t="str">
        <f>'2º TRIMESTRE'!I61</f>
        <v>6-056/21</v>
      </c>
      <c r="J61" s="52">
        <f>'2º TRIMESTRE'!J61</f>
        <v>44531</v>
      </c>
      <c r="K61" s="15">
        <f>'2º TRIMESTRE'!K61</f>
        <v>760</v>
      </c>
      <c r="L61" s="82">
        <f>'2º TRIMESTRE'!L61</f>
        <v>3696587.52</v>
      </c>
      <c r="M61" s="52">
        <f t="shared" si="0"/>
        <v>45291</v>
      </c>
      <c r="N61" s="15">
        <f>'2º TRIMESTRE'!N61</f>
        <v>0</v>
      </c>
      <c r="O61" s="82">
        <f>'2º TRIMESTRE'!O61</f>
        <v>0</v>
      </c>
      <c r="P61" s="82">
        <f>'2º TRIMESTRE'!P61</f>
        <v>0</v>
      </c>
      <c r="Q61" s="15" t="str">
        <f>'2º TRIMESTRE'!Q61</f>
        <v>3.3.90.39</v>
      </c>
      <c r="R61" s="82">
        <f>'2º TRIMESTRE'!R61</f>
        <v>415369.05</v>
      </c>
      <c r="S61" s="93"/>
      <c r="T61" s="82">
        <f>'2º TRIMESTRE'!T61+S61</f>
        <v>249788.94</v>
      </c>
      <c r="U61" s="82" t="e">
        <f>'2º TRIMESTRE'!U61+S61</f>
        <v>#REF!</v>
      </c>
      <c r="V61" s="15" t="str">
        <f>'2º TRIMESTRE'!V61</f>
        <v>andamento</v>
      </c>
      <c r="W61" s="45"/>
    </row>
    <row r="62" spans="1:23" ht="64.3">
      <c r="A62" s="14" t="str">
        <f>'2º TRIMESTRE'!A62</f>
        <v>Pregão Eletrônico Licitação: 032/2021</v>
      </c>
      <c r="B62" s="14" t="str">
        <f>'2º TRIMESTRE'!B62</f>
        <v>CONTRATAÇÃO DE EMPRESA ESPECIALIZADA NA PRESTAÇÃO DE SERVIÇOS CONTÍNUOS DE PAISAGISMO E CONSERVAÇÃO PREVENTIVA E CORRETIVA DE PARQUES, PRAÇAS, JARDINS E ÁREAS VERDES PÚBLICOS NA CIDADE DO RECIFE - LOTE 02</v>
      </c>
      <c r="C62" s="14">
        <f>'2º TRIMESTRE'!C62</f>
        <v>0</v>
      </c>
      <c r="D62" s="14">
        <f>'2º TRIMESTRE'!D62</f>
        <v>0</v>
      </c>
      <c r="E62" s="82">
        <f>'2º TRIMESTRE'!E62</f>
        <v>0</v>
      </c>
      <c r="F62" s="82">
        <f>'2º TRIMESTRE'!F62</f>
        <v>0</v>
      </c>
      <c r="G62" s="15" t="str">
        <f>'2º TRIMESTRE'!G62</f>
        <v>08.963.533/0001-80</v>
      </c>
      <c r="H62" s="14" t="str">
        <f>'2º TRIMESTRE'!H62</f>
        <v>FAR COMERCIO E SERVIÇOS PAISAGISTICOS LTDA</v>
      </c>
      <c r="I62" s="75" t="str">
        <f>'2º TRIMESTRE'!I62</f>
        <v>6-057/21</v>
      </c>
      <c r="J62" s="52">
        <f>'2º TRIMESTRE'!J62</f>
        <v>44532</v>
      </c>
      <c r="K62" s="15">
        <f>'2º TRIMESTRE'!K62</f>
        <v>760</v>
      </c>
      <c r="L62" s="82">
        <f>'2º TRIMESTRE'!L62</f>
        <v>3380477.52</v>
      </c>
      <c r="M62" s="52">
        <f t="shared" si="0"/>
        <v>45292</v>
      </c>
      <c r="N62" s="15">
        <f>'2º TRIMESTRE'!N62</f>
        <v>0</v>
      </c>
      <c r="O62" s="82">
        <f>'2º TRIMESTRE'!O62</f>
        <v>0</v>
      </c>
      <c r="P62" s="82">
        <f>'2º TRIMESTRE'!P62</f>
        <v>0</v>
      </c>
      <c r="Q62" s="15" t="str">
        <f>'2º TRIMESTRE'!Q62</f>
        <v>3.3.90.39</v>
      </c>
      <c r="R62" s="95">
        <f>'2º TRIMESTRE'!R62+1483037.2</f>
        <v>1905596.89</v>
      </c>
      <c r="S62" s="82">
        <v>1683234.04</v>
      </c>
      <c r="T62" s="82">
        <f>'2º TRIMESTRE'!T62+S62</f>
        <v>1905371.04</v>
      </c>
      <c r="U62" s="82" t="e">
        <f>'2º TRIMESTRE'!U62+S62</f>
        <v>#REF!</v>
      </c>
      <c r="V62" s="15" t="str">
        <f>'2º TRIMESTRE'!V62</f>
        <v>andamento</v>
      </c>
      <c r="W62" s="45"/>
    </row>
    <row r="63" spans="1:23" ht="64.3">
      <c r="A63" s="14" t="str">
        <f>'2º TRIMESTRE'!A63</f>
        <v>CONCORRÊNCIA / nº 014/2021</v>
      </c>
      <c r="B63" s="14" t="str">
        <f>'2º TRIMESTRE'!B63</f>
        <v>CONTRATAÇÃO DE EMPRESA DE ENGENHARIA, ESPECIALIZADA EM ILUMINAÇÃO PÚBLICA, PARA FORNECIMENTO E INSTALAÇÃO DE LUMINÁRIAS COM TECNOLOGIA LED RGB E REDE ELÉTRICA, PARA ILUMINAÇÃO CÊNICA DO PARQUE DONA LINDU, BOA VIAGEM</v>
      </c>
      <c r="C63" s="14" t="str">
        <f>'2º TRIMESTRE'!C63</f>
        <v>532561/2020</v>
      </c>
      <c r="D63" s="14" t="str">
        <f>'2º TRIMESTRE'!D63</f>
        <v>FINISA</v>
      </c>
      <c r="E63" s="82">
        <f>'2º TRIMESTRE'!E63</f>
        <v>50000000</v>
      </c>
      <c r="F63" s="82">
        <f>'2º TRIMESTRE'!F63</f>
        <v>0</v>
      </c>
      <c r="G63" s="15" t="str">
        <f>'2º TRIMESTRE'!G63</f>
        <v>03.834.750/0001-57</v>
      </c>
      <c r="H63" s="14" t="str">
        <f>'2º TRIMESTRE'!H63</f>
        <v>EIP SERVICOS DE ILUMINACAO LTDA</v>
      </c>
      <c r="I63" s="15" t="str">
        <f>'2º TRIMESTRE'!I63</f>
        <v>6-001/22</v>
      </c>
      <c r="J63" s="52">
        <f>'2º TRIMESTRE'!J63</f>
        <v>44599</v>
      </c>
      <c r="K63" s="15">
        <f>'2º TRIMESTRE'!K63</f>
        <v>150</v>
      </c>
      <c r="L63" s="82">
        <f>'2º TRIMESTRE'!L63</f>
        <v>2245061.8199999998</v>
      </c>
      <c r="M63" s="52">
        <f t="shared" si="0"/>
        <v>44749</v>
      </c>
      <c r="N63" s="15">
        <f>'2º TRIMESTRE'!N63</f>
        <v>0</v>
      </c>
      <c r="O63" s="82">
        <f>'2º TRIMESTRE'!O63</f>
        <v>0</v>
      </c>
      <c r="P63" s="82">
        <f>'2º TRIMESTRE'!P63</f>
        <v>0</v>
      </c>
      <c r="Q63" s="15" t="str">
        <f>'2º TRIMESTRE'!Q63</f>
        <v>4.4.90.39</v>
      </c>
      <c r="R63" s="82">
        <f>'2º TRIMESTRE'!R63</f>
        <v>0</v>
      </c>
      <c r="S63" s="82">
        <v>0</v>
      </c>
      <c r="T63" s="82">
        <f>'2º TRIMESTRE'!T63+S63</f>
        <v>0</v>
      </c>
      <c r="U63" s="82" t="e">
        <f>'2º TRIMESTRE'!U63+S63</f>
        <v>#REF!</v>
      </c>
      <c r="V63" s="15" t="str">
        <f>'2º TRIMESTRE'!V63</f>
        <v>andamento</v>
      </c>
      <c r="W63" s="45"/>
    </row>
    <row r="64" spans="1:23" ht="42.9">
      <c r="A64" s="14" t="str">
        <f>'2º TRIMESTRE'!A64</f>
        <v>CONCORRÊNCIA / nº 012/2021</v>
      </c>
      <c r="B64" s="14" t="str">
        <f>'2º TRIMESTRE'!B64</f>
        <v>CONTRATAÇÃO DE EMPRESA DE ENGENHARIA, ESPECIALIZADA EM ILUMINAÇÃO PÚBLICA, PARA SERVIÇOS DE APOIO TÉCNICO PARA CIDADE DO RECIFE.</v>
      </c>
      <c r="C64" s="14">
        <f>'2º TRIMESTRE'!C64</f>
        <v>0</v>
      </c>
      <c r="D64" s="14">
        <f>'2º TRIMESTRE'!D64</f>
        <v>0</v>
      </c>
      <c r="E64" s="82">
        <f>'2º TRIMESTRE'!E64</f>
        <v>0</v>
      </c>
      <c r="F64" s="82">
        <f>'2º TRIMESTRE'!F64</f>
        <v>0</v>
      </c>
      <c r="G64" s="15" t="str">
        <f>'2º TRIMESTRE'!G64</f>
        <v>03.834.750/0001-57</v>
      </c>
      <c r="H64" s="14" t="str">
        <f>'2º TRIMESTRE'!H64</f>
        <v>EIP SERVICOS DE ILUMINACAO LTDA</v>
      </c>
      <c r="I64" s="15" t="str">
        <f>'2º TRIMESTRE'!I64</f>
        <v>6-002/22</v>
      </c>
      <c r="J64" s="52">
        <f>'2º TRIMESTRE'!J64</f>
        <v>44589</v>
      </c>
      <c r="K64" s="15">
        <f>'2º TRIMESTRE'!K64</f>
        <v>760</v>
      </c>
      <c r="L64" s="82">
        <f>'2º TRIMESTRE'!L64</f>
        <v>1418802</v>
      </c>
      <c r="M64" s="52">
        <f t="shared" si="0"/>
        <v>45349</v>
      </c>
      <c r="N64" s="15">
        <f>'2º TRIMESTRE'!N64</f>
        <v>0</v>
      </c>
      <c r="O64" s="82">
        <f>'2º TRIMESTRE'!O64+70050.53</f>
        <v>201017.69</v>
      </c>
      <c r="P64" s="82">
        <f>'2º TRIMESTRE'!P64</f>
        <v>0</v>
      </c>
      <c r="Q64" s="15" t="str">
        <f>'2º TRIMESTRE'!Q64</f>
        <v>3.3.90.39</v>
      </c>
      <c r="R64" s="82">
        <f>'2º TRIMESTRE'!R64+2458059.28</f>
        <v>2491679.19</v>
      </c>
      <c r="S64" s="82">
        <v>2538547.67</v>
      </c>
      <c r="T64" s="82">
        <f>'2º TRIMESTRE'!T64+S64</f>
        <v>2572167.58</v>
      </c>
      <c r="U64" s="82" t="e">
        <f>'2º TRIMESTRE'!U64+S64</f>
        <v>#REF!</v>
      </c>
      <c r="V64" s="15" t="str">
        <f>'2º TRIMESTRE'!V64</f>
        <v>andamento</v>
      </c>
      <c r="W64" s="45"/>
    </row>
    <row r="65" spans="1:23" ht="53.6">
      <c r="A65" s="14" t="str">
        <f>'2º TRIMESTRE'!A65</f>
        <v>CONCORRÊNCIA / nº 008/2021</v>
      </c>
      <c r="B65" s="14" t="str">
        <f>'2º TRIMESTRE'!B65</f>
        <v>CONTRATAÇÃO DE EMPRESA DE ENGENHARIA, ESPECIALIZADA EM ILUMINAÇÃO PÚBLICA, PARA EXECUÇÃO DA MANUTENÇÃO, PREVENTIVA E CORRETIVA, DO SISTEMA DE ILUMINAÇÃO CÊNICA DA CIDADE DO RECIFE</v>
      </c>
      <c r="C65" s="14" t="str">
        <f>'2º TRIMESTRE'!C65</f>
        <v>532561/2020</v>
      </c>
      <c r="D65" s="14" t="str">
        <f>'2º TRIMESTRE'!D65</f>
        <v>FINISA</v>
      </c>
      <c r="E65" s="82">
        <f>'2º TRIMESTRE'!E65</f>
        <v>50000000</v>
      </c>
      <c r="F65" s="82">
        <f>'2º TRIMESTRE'!F65</f>
        <v>0</v>
      </c>
      <c r="G65" s="15" t="str">
        <f>'2º TRIMESTRE'!G65</f>
        <v>03.834.750/0001-57</v>
      </c>
      <c r="H65" s="14" t="str">
        <f>'2º TRIMESTRE'!H65</f>
        <v>EIP SERVICOS DE ILUMINACAO LTDA</v>
      </c>
      <c r="I65" s="15" t="str">
        <f>'2º TRIMESTRE'!I65</f>
        <v>6-003/22</v>
      </c>
      <c r="J65" s="52">
        <f>'2º TRIMESTRE'!J65</f>
        <v>44589</v>
      </c>
      <c r="K65" s="15">
        <f>'2º TRIMESTRE'!K65</f>
        <v>760</v>
      </c>
      <c r="L65" s="82">
        <f>'2º TRIMESTRE'!L65</f>
        <v>3730846.67</v>
      </c>
      <c r="M65" s="52">
        <f t="shared" si="0"/>
        <v>45349</v>
      </c>
      <c r="N65" s="15">
        <f>'2º TRIMESTRE'!N65</f>
        <v>0</v>
      </c>
      <c r="O65" s="82">
        <f>'2º TRIMESTRE'!O65</f>
        <v>0</v>
      </c>
      <c r="P65" s="82">
        <f>'2º TRIMESTRE'!P65</f>
        <v>0</v>
      </c>
      <c r="Q65" s="15" t="str">
        <f>'2º TRIMESTRE'!Q65</f>
        <v>4.4.90.39</v>
      </c>
      <c r="R65" s="82">
        <f>'2º TRIMESTRE'!R65+1542626.39</f>
        <v>1542626.39</v>
      </c>
      <c r="S65" s="82">
        <v>2344359.12</v>
      </c>
      <c r="T65" s="82">
        <f>'2º TRIMESTRE'!T65+S65</f>
        <v>2344359.12</v>
      </c>
      <c r="U65" s="82" t="e">
        <f>'2º TRIMESTRE'!U65+S65</f>
        <v>#REF!</v>
      </c>
      <c r="V65" s="15" t="str">
        <f>'2º TRIMESTRE'!V65</f>
        <v>andamento</v>
      </c>
      <c r="W65" s="45"/>
    </row>
    <row r="66" spans="1:23" ht="42.9">
      <c r="A66" s="14" t="str">
        <f>'2º TRIMESTRE'!A66</f>
        <v>Pregão Eletrônico Licitação: 037/2021</v>
      </c>
      <c r="B66" s="14" t="str">
        <f>'2º TRIMESTRE'!B66</f>
        <v>SERVIÇOS DE INFRAESTURURA PARA IMPLANTAÇÃO DO MEMORIAL JUDAICO EM HONRA AO POVO JUDEU, NA PRAÇA TIRADENTES BAIRRO DO RECIFE, RECIFE - PE</v>
      </c>
      <c r="C66" s="14">
        <f>'2º TRIMESTRE'!C66</f>
        <v>0</v>
      </c>
      <c r="D66" s="14">
        <f>'2º TRIMESTRE'!D66</f>
        <v>0</v>
      </c>
      <c r="E66" s="82">
        <f>'2º TRIMESTRE'!E66</f>
        <v>0</v>
      </c>
      <c r="F66" s="82">
        <f>'2º TRIMESTRE'!F66</f>
        <v>0</v>
      </c>
      <c r="G66" s="15" t="str">
        <f>'2º TRIMESTRE'!G66</f>
        <v>22.257.930/0001-68</v>
      </c>
      <c r="H66" s="14" t="str">
        <f>'2º TRIMESTRE'!H66</f>
        <v>G O DOS SANTOS CONSTRUCOES EIRELI</v>
      </c>
      <c r="I66" s="15" t="str">
        <f>'2º TRIMESTRE'!I66</f>
        <v>6-004/22</v>
      </c>
      <c r="J66" s="52">
        <f>'2º TRIMESTRE'!J66</f>
        <v>44602</v>
      </c>
      <c r="K66" s="15">
        <f>'2º TRIMESTRE'!K66</f>
        <v>60</v>
      </c>
      <c r="L66" s="82">
        <f>'2º TRIMESTRE'!L66</f>
        <v>119999.98</v>
      </c>
      <c r="M66" s="52">
        <f t="shared" si="0"/>
        <v>44662</v>
      </c>
      <c r="N66" s="15">
        <f>'2º TRIMESTRE'!N66</f>
        <v>0</v>
      </c>
      <c r="O66" s="82">
        <f>'2º TRIMESTRE'!O66</f>
        <v>0</v>
      </c>
      <c r="P66" s="82">
        <f>'2º TRIMESTRE'!P66</f>
        <v>0</v>
      </c>
      <c r="Q66" s="15" t="str">
        <f>'2º TRIMESTRE'!Q66</f>
        <v>4.4.90.39</v>
      </c>
      <c r="R66" s="82">
        <f>'2º TRIMESTRE'!R66</f>
        <v>0</v>
      </c>
      <c r="S66" s="82">
        <v>0</v>
      </c>
      <c r="T66" s="82">
        <f>'2º TRIMESTRE'!T66+S66</f>
        <v>0</v>
      </c>
      <c r="U66" s="82" t="e">
        <f>'2º TRIMESTRE'!U66+S66</f>
        <v>#REF!</v>
      </c>
      <c r="V66" s="15" t="str">
        <f>'2º TRIMESTRE'!V66</f>
        <v>cadastrado</v>
      </c>
      <c r="W66" s="45"/>
    </row>
    <row r="67" spans="1:23" ht="64.3">
      <c r="A67" s="14" t="str">
        <f>'2º TRIMESTRE'!A67</f>
        <v>Tomada de Preço Licitação: 009/2021</v>
      </c>
      <c r="B67" s="14" t="str">
        <f>'2º TRIMESTRE'!B67</f>
        <v>SERVIÇOS DE REFORMA DE DIVERSOS PRÉDIOS PÚBLICOS MANTIDOS PELA EMLURB: LOTE 01 DLU E GOFIS DA RPA 01 E RPA 06, LOTE 02 DIVERSOS BANHEIROS PÚBLICOS, SEDE DA EMLURB E LABORATÓRIO. LOCALIZADOS EM DIVERSOS BAIRROS DA CIDADE DO RECIFE PE</v>
      </c>
      <c r="C67" s="14">
        <f>'2º TRIMESTRE'!C67</f>
        <v>0</v>
      </c>
      <c r="D67" s="14">
        <f>'2º TRIMESTRE'!D67</f>
        <v>0</v>
      </c>
      <c r="E67" s="82">
        <f>'2º TRIMESTRE'!E67</f>
        <v>0</v>
      </c>
      <c r="F67" s="82">
        <f>'2º TRIMESTRE'!F67</f>
        <v>0</v>
      </c>
      <c r="G67" s="15" t="str">
        <f>'2º TRIMESTRE'!G67</f>
        <v>30.700.985/0001-29</v>
      </c>
      <c r="H67" s="14" t="str">
        <f>'2º TRIMESTRE'!H67</f>
        <v>CONSTRUTORA MANASSU LTDA</v>
      </c>
      <c r="I67" s="15" t="str">
        <f>'2º TRIMESTRE'!I67</f>
        <v>6-005/22</v>
      </c>
      <c r="J67" s="52">
        <f>'2º TRIMESTRE'!J67</f>
        <v>44606</v>
      </c>
      <c r="K67" s="15">
        <f>'2º TRIMESTRE'!K67</f>
        <v>270</v>
      </c>
      <c r="L67" s="82">
        <f>'2º TRIMESTRE'!L67</f>
        <v>493303.08</v>
      </c>
      <c r="M67" s="52">
        <f t="shared" si="0"/>
        <v>44876</v>
      </c>
      <c r="N67" s="15">
        <f>'2º TRIMESTRE'!N67</f>
        <v>0</v>
      </c>
      <c r="O67" s="82">
        <f>'2º TRIMESTRE'!O67</f>
        <v>0</v>
      </c>
      <c r="P67" s="82">
        <f>'2º TRIMESTRE'!P67</f>
        <v>0</v>
      </c>
      <c r="Q67" s="15" t="str">
        <f>'2º TRIMESTRE'!Q67</f>
        <v>4.4.90.39</v>
      </c>
      <c r="R67" s="82">
        <f>'2º TRIMESTRE'!R67</f>
        <v>0</v>
      </c>
      <c r="S67" s="82">
        <v>0</v>
      </c>
      <c r="T67" s="82">
        <f>'2º TRIMESTRE'!T67+S67</f>
        <v>0</v>
      </c>
      <c r="U67" s="82" t="e">
        <f>'2º TRIMESTRE'!U67+S67</f>
        <v>#REF!</v>
      </c>
      <c r="V67" s="15" t="str">
        <f>'2º TRIMESTRE'!V67</f>
        <v>andamento</v>
      </c>
      <c r="W67" s="45"/>
    </row>
    <row r="68" spans="1:23" ht="64.3">
      <c r="A68" s="14" t="str">
        <f>'2º TRIMESTRE'!A68</f>
        <v>CREDENCIAMENTO Licitação: 001/2021</v>
      </c>
      <c r="B68" s="14" t="str">
        <f>'2º TRIMESTRE'!B68</f>
        <v>CREDENCIAMENTO DE EMPRESA ESPECIALIZADA EM ENGENHARIA SANITÁRIA PARA RECOLHIMENTO, TRATAMENTO E DISPOSIÇÃO FINAL AMBIENTALMENTE CORRETO DE LÍQUIDOS ORIUNDOS DO ATERRO DESATIVADO DA MURIBECA SOB RESPONSABILIDADE DA EMLURB</v>
      </c>
      <c r="C68" s="14">
        <f>'2º TRIMESTRE'!C68</f>
        <v>0</v>
      </c>
      <c r="D68" s="14">
        <f>'2º TRIMESTRE'!D68</f>
        <v>0</v>
      </c>
      <c r="E68" s="82">
        <f>'2º TRIMESTRE'!E68</f>
        <v>0</v>
      </c>
      <c r="F68" s="82">
        <f>'2º TRIMESTRE'!F68</f>
        <v>0</v>
      </c>
      <c r="G68" s="15" t="str">
        <f>'2º TRIMESTRE'!G68</f>
        <v>08.165.091/0002-08</v>
      </c>
      <c r="H68" s="14" t="str">
        <f>'2º TRIMESTRE'!H68</f>
        <v>ECOPESA AMBIENTAL S.A.</v>
      </c>
      <c r="I68" s="15" t="str">
        <f>'2º TRIMESTRE'!I68</f>
        <v>6-006/22</v>
      </c>
      <c r="J68" s="52">
        <f>'2º TRIMESTRE'!J68</f>
        <v>44606</v>
      </c>
      <c r="K68" s="15">
        <f>'2º TRIMESTRE'!K68</f>
        <v>395</v>
      </c>
      <c r="L68" s="82">
        <f>'2º TRIMESTRE'!L68</f>
        <v>1392960</v>
      </c>
      <c r="M68" s="52">
        <f t="shared" si="0"/>
        <v>45001</v>
      </c>
      <c r="N68" s="15">
        <f>'2º TRIMESTRE'!N68</f>
        <v>0</v>
      </c>
      <c r="O68" s="82">
        <f>'2º TRIMESTRE'!O68</f>
        <v>0</v>
      </c>
      <c r="P68" s="82">
        <f>'2º TRIMESTRE'!P68</f>
        <v>0</v>
      </c>
      <c r="Q68" s="15" t="str">
        <f>'2º TRIMESTRE'!Q68</f>
        <v>3.3.90.39</v>
      </c>
      <c r="R68" s="82">
        <f>'2º TRIMESTRE'!R68</f>
        <v>203952.56</v>
      </c>
      <c r="S68" s="82"/>
      <c r="T68" s="82">
        <f>'2º TRIMESTRE'!T68+S68</f>
        <v>203952.56</v>
      </c>
      <c r="U68" s="82" t="e">
        <f>'2º TRIMESTRE'!U68+S68</f>
        <v>#REF!</v>
      </c>
      <c r="V68" s="15" t="str">
        <f>'2º TRIMESTRE'!V68</f>
        <v>andamento</v>
      </c>
      <c r="W68" s="45"/>
    </row>
    <row r="69" spans="1:23" ht="64.3">
      <c r="A69" s="14" t="str">
        <f>'2º TRIMESTRE'!A69</f>
        <v>Tomada de Preço Licitação: 011/2021</v>
      </c>
      <c r="B69" s="14" t="str">
        <f>'2º TRIMESTRE'!B69</f>
        <v>CONTRATAÇÃO DE EMPRESA DE ENGENHARIA, ESPECIALIZADA EM ILUMINAÇÃO PÚBLICA, PARA FORNECIMENTO DE LUMINÁRIAS COM TECNOLOGIA LED RGB E REDE ELÉTRICA, PARA ILUMINAÇÃO CÊNICA DA PASSARELA JOANA BEZERRA.</v>
      </c>
      <c r="C69" s="14" t="str">
        <f>'2º TRIMESTRE'!C69</f>
        <v>532561/2020</v>
      </c>
      <c r="D69" s="14" t="str">
        <f>'2º TRIMESTRE'!D69</f>
        <v>FINISA</v>
      </c>
      <c r="E69" s="82">
        <f>'2º TRIMESTRE'!E69</f>
        <v>50000000</v>
      </c>
      <c r="F69" s="82">
        <f>'2º TRIMESTRE'!F69</f>
        <v>0</v>
      </c>
      <c r="G69" s="15" t="str">
        <f>'2º TRIMESTRE'!G69</f>
        <v>01.346.561/0001-00</v>
      </c>
      <c r="H69" s="14" t="str">
        <f>'2º TRIMESTRE'!H69</f>
        <v>VASCONCELOS E SANTOS LTDA</v>
      </c>
      <c r="I69" s="15" t="str">
        <f>'2º TRIMESTRE'!I69</f>
        <v>6-007/22</v>
      </c>
      <c r="J69" s="52">
        <f>'2º TRIMESTRE'!J69</f>
        <v>44610</v>
      </c>
      <c r="K69" s="15">
        <f>'2º TRIMESTRE'!K69</f>
        <v>150</v>
      </c>
      <c r="L69" s="82">
        <f>'2º TRIMESTRE'!L69</f>
        <v>811940.61</v>
      </c>
      <c r="M69" s="52">
        <f t="shared" si="0"/>
        <v>44820</v>
      </c>
      <c r="N69" s="15">
        <f>'2º TRIMESTRE'!N69+60</f>
        <v>60</v>
      </c>
      <c r="O69" s="82">
        <f>'2º TRIMESTRE'!O69</f>
        <v>0</v>
      </c>
      <c r="P69" s="82">
        <f>'2º TRIMESTRE'!P69</f>
        <v>0</v>
      </c>
      <c r="Q69" s="15" t="str">
        <f>'2º TRIMESTRE'!Q69</f>
        <v>4.4.90.39</v>
      </c>
      <c r="R69" s="82">
        <f>'2º TRIMESTRE'!R69+424064.2</f>
        <v>424064.2</v>
      </c>
      <c r="S69" s="82">
        <v>543672.6</v>
      </c>
      <c r="T69" s="82">
        <f>'2º TRIMESTRE'!T69+S69</f>
        <v>543672.6</v>
      </c>
      <c r="U69" s="82" t="e">
        <f>'2º TRIMESTRE'!U69+S69</f>
        <v>#REF!</v>
      </c>
      <c r="V69" s="15" t="str">
        <f>'2º TRIMESTRE'!V69</f>
        <v>andamento</v>
      </c>
      <c r="W69" s="45"/>
    </row>
    <row r="70" spans="1:23" ht="32.15">
      <c r="A70" s="14" t="str">
        <f>'2º TRIMESTRE'!A70</f>
        <v>CONCORRÊNCIA / nº 017/2021</v>
      </c>
      <c r="B70" s="14" t="str">
        <f>'2º TRIMESTRE'!B70</f>
        <v>IMPLANTAÇÃO DE TRECHO DE DRENAGEM DA RUA VINTE E UM DE ABRIL COM A RUA LÍDIA GUIMARÃES, EM AFOGADOS RECIE-PE</v>
      </c>
      <c r="C70" s="14">
        <f>'2º TRIMESTRE'!C70</f>
        <v>0</v>
      </c>
      <c r="D70" s="14">
        <f>'2º TRIMESTRE'!D70</f>
        <v>0</v>
      </c>
      <c r="E70" s="82">
        <f>'2º TRIMESTRE'!E70</f>
        <v>0</v>
      </c>
      <c r="F70" s="82">
        <f>'2º TRIMESTRE'!F70</f>
        <v>0</v>
      </c>
      <c r="G70" s="15" t="str">
        <f>'2º TRIMESTRE'!G70</f>
        <v>10.893.105/0001-70</v>
      </c>
      <c r="H70" s="14" t="str">
        <f>'2º TRIMESTRE'!H70</f>
        <v>AGILIS CONSTRUTORA LTDA</v>
      </c>
      <c r="I70" s="15" t="str">
        <f>'2º TRIMESTRE'!I70</f>
        <v>6-008/22</v>
      </c>
      <c r="J70" s="52">
        <f>'2º TRIMESTRE'!J70</f>
        <v>44615</v>
      </c>
      <c r="K70" s="15">
        <f>'2º TRIMESTRE'!K70</f>
        <v>180</v>
      </c>
      <c r="L70" s="82">
        <f>'2º TRIMESTRE'!L70</f>
        <v>477968.09</v>
      </c>
      <c r="M70" s="52">
        <f t="shared" si="0"/>
        <v>44795</v>
      </c>
      <c r="N70" s="15">
        <f>'2º TRIMESTRE'!N70</f>
        <v>0</v>
      </c>
      <c r="O70" s="82">
        <f>'2º TRIMESTRE'!O70</f>
        <v>0</v>
      </c>
      <c r="P70" s="82">
        <f>'2º TRIMESTRE'!P70</f>
        <v>0</v>
      </c>
      <c r="Q70" s="15" t="str">
        <f>'2º TRIMESTRE'!Q70</f>
        <v>4.4.90.39</v>
      </c>
      <c r="R70" s="82">
        <f>'2º TRIMESTRE'!R70</f>
        <v>266723.90000000002</v>
      </c>
      <c r="S70" s="82">
        <v>0</v>
      </c>
      <c r="T70" s="82">
        <f>'2º TRIMESTRE'!T70+S70</f>
        <v>266723.90000000002</v>
      </c>
      <c r="U70" s="82" t="e">
        <f>'2º TRIMESTRE'!U70+S70</f>
        <v>#REF!</v>
      </c>
      <c r="V70" s="15" t="str">
        <f>'2º TRIMESTRE'!V70</f>
        <v>andamento</v>
      </c>
      <c r="W70" s="45"/>
    </row>
    <row r="71" spans="1:23" ht="75">
      <c r="A71" s="14" t="str">
        <f>'2º TRIMESTRE'!A71</f>
        <v>CONCORRÊNCIA / nº 018/2021</v>
      </c>
      <c r="B71" s="14" t="str">
        <f>'2º TRIMESTRE'!B71</f>
        <v>SERVIÇOS DE REQUALIFICAÇÃO DE PAVIMENTAÇÃO, DRENAGEM, ACESSIBILIDADE E SINALIZAÇÃO DA RUA CARLOS PEREIRA FALÇÃO TRECHO ENTRE AS RUAS VISCONDE DE JEQUITINHONHA E TENENTE DOMINGOS DE BRITO LOCALIZADA NO BAIRRO DE BOA VIAGEM NA CIDADE DO RECIFE - PE</v>
      </c>
      <c r="C71" s="14" t="str">
        <f>'2º TRIMESTRE'!C71</f>
        <v>899753/2020</v>
      </c>
      <c r="D71" s="14" t="str">
        <f>'2º TRIMESTRE'!D71</f>
        <v>Emenda Parlamentar Federal</v>
      </c>
      <c r="E71" s="82">
        <f>'2º TRIMESTRE'!E71</f>
        <v>767341</v>
      </c>
      <c r="F71" s="82">
        <f>'2º TRIMESTRE'!F71</f>
        <v>8000</v>
      </c>
      <c r="G71" s="15" t="str">
        <f>'2º TRIMESTRE'!G71</f>
        <v>10.893.105/0001-70</v>
      </c>
      <c r="H71" s="14" t="str">
        <f>'2º TRIMESTRE'!H71</f>
        <v>AGILIS CONSTRUTORA LTDA</v>
      </c>
      <c r="I71" s="15" t="str">
        <f>'2º TRIMESTRE'!I71</f>
        <v>6-009/22</v>
      </c>
      <c r="J71" s="52">
        <f>'2º TRIMESTRE'!J71</f>
        <v>44630</v>
      </c>
      <c r="K71" s="15">
        <f>'2º TRIMESTRE'!K71</f>
        <v>180</v>
      </c>
      <c r="L71" s="82">
        <f>'2º TRIMESTRE'!L71</f>
        <v>730428.03</v>
      </c>
      <c r="M71" s="52">
        <f t="shared" si="0"/>
        <v>44900</v>
      </c>
      <c r="N71" s="15">
        <f>'2º TRIMESTRE'!N71+90</f>
        <v>90</v>
      </c>
      <c r="O71" s="82">
        <f>'2º TRIMESTRE'!O71+144753.82</f>
        <v>144753.82</v>
      </c>
      <c r="P71" s="82">
        <f>'2º TRIMESTRE'!P71</f>
        <v>0</v>
      </c>
      <c r="Q71" s="15" t="str">
        <f>'2º TRIMESTRE'!Q71</f>
        <v>4.4.90.39</v>
      </c>
      <c r="R71" s="82">
        <f>'2º TRIMESTRE'!R71+78940.3</f>
        <v>78940.3</v>
      </c>
      <c r="S71" s="82">
        <v>181523.54</v>
      </c>
      <c r="T71" s="82">
        <f>'2º TRIMESTRE'!T71+S71</f>
        <v>181523.54</v>
      </c>
      <c r="U71" s="82" t="e">
        <f>'2º TRIMESTRE'!U71+S71</f>
        <v>#REF!</v>
      </c>
      <c r="V71" s="15" t="str">
        <f>'2º TRIMESTRE'!V71</f>
        <v>cadastrado</v>
      </c>
      <c r="W71" s="45"/>
    </row>
    <row r="72" spans="1:23" ht="64.3">
      <c r="A72" s="14" t="str">
        <f>'2º TRIMESTRE'!A72</f>
        <v>Pregão Eletrônico Licitação: 002/2022</v>
      </c>
      <c r="B72" s="14" t="str">
        <f>'2º TRIMESTRE'!B72</f>
        <v>CONTRATAÇÃO DE PESSOA S JURÍDICA S ESPECIALIZADA EM ENGENHARIA SANITÁRIA PARA RECEBIMENTO, TRATAMENTO E DISPOSIÇÃO FINAL DE RESÍDUOS DE CONSTRUÇÃO RCC CLASSE A INERTE COLETADOS PELA EMLURB NO MUNICÍPIO DO RECIFE</v>
      </c>
      <c r="C72" s="14">
        <f>'2º TRIMESTRE'!C72</f>
        <v>0</v>
      </c>
      <c r="D72" s="14">
        <f>'2º TRIMESTRE'!D72</f>
        <v>0</v>
      </c>
      <c r="E72" s="82">
        <f>'2º TRIMESTRE'!E72</f>
        <v>0</v>
      </c>
      <c r="F72" s="82">
        <f>'2º TRIMESTRE'!F72</f>
        <v>0</v>
      </c>
      <c r="G72" s="15" t="str">
        <f>'2º TRIMESTRE'!G72</f>
        <v>10.877.732/0001-18</v>
      </c>
      <c r="H72" s="14" t="str">
        <f>'2º TRIMESTRE'!H72</f>
        <v>CICLO AMBIENTAL LTDA</v>
      </c>
      <c r="I72" s="15" t="str">
        <f>'2º TRIMESTRE'!I72</f>
        <v>6-012/22</v>
      </c>
      <c r="J72" s="52">
        <f>'2º TRIMESTRE'!J72</f>
        <v>44635</v>
      </c>
      <c r="K72" s="15">
        <f>'2º TRIMESTRE'!K72</f>
        <v>1890</v>
      </c>
      <c r="L72" s="82">
        <f>'2º TRIMESTRE'!L72</f>
        <v>28992600</v>
      </c>
      <c r="M72" s="52">
        <f t="shared" si="0"/>
        <v>46525</v>
      </c>
      <c r="N72" s="15">
        <f>'2º TRIMESTRE'!N72</f>
        <v>0</v>
      </c>
      <c r="O72" s="82">
        <f>'2º TRIMESTRE'!O72</f>
        <v>0</v>
      </c>
      <c r="P72" s="82">
        <f>'2º TRIMESTRE'!P72</f>
        <v>0</v>
      </c>
      <c r="Q72" s="15" t="str">
        <f>'2º TRIMESTRE'!Q72</f>
        <v>3.3.90.39</v>
      </c>
      <c r="R72" s="82">
        <f>'2º TRIMESTRE'!R72</f>
        <v>0</v>
      </c>
      <c r="S72" s="82">
        <v>0</v>
      </c>
      <c r="T72" s="82">
        <f>'2º TRIMESTRE'!T72+S72</f>
        <v>0</v>
      </c>
      <c r="U72" s="82" t="e">
        <f>'2º TRIMESTRE'!U72+S72</f>
        <v>#REF!</v>
      </c>
      <c r="V72" s="15" t="str">
        <f>'2º TRIMESTRE'!V72</f>
        <v>andamento</v>
      </c>
      <c r="W72" s="45"/>
    </row>
    <row r="73" spans="1:23" ht="75">
      <c r="A73" s="14" t="str">
        <f>'2º TRIMESTRE'!A73</f>
        <v>CONCORRÊNCIA / nº 018/2021</v>
      </c>
      <c r="B73" s="14" t="str">
        <f>'2º TRIMESTRE'!B73</f>
        <v>CONTRATAÇÃO DE EMPRESA ESPCIALIZADA NO RAMO DE ENGENHARIA PARA EXECUÇÃO DOS SERVIÇOS DE RECUPERAÇÃO DE REDE DE DRENAGEM E PAVIMENTAÇÃO DA RUA ACAJUTIBA, NO TRECHO ENTRE AS RUAS GÁLIA E PINTO FERREIRA, LOCALIZADAS NO BAIRRO DE BONGI, RECIFE - PE</v>
      </c>
      <c r="C73" s="14">
        <f>'2º TRIMESTRE'!C73</f>
        <v>0</v>
      </c>
      <c r="D73" s="14" t="str">
        <f>'2º TRIMESTRE'!D73</f>
        <v>Emenda Parlamentar Federal - TRANSFERÊNCIA  ESPECIAL - FELIPE CARRERA</v>
      </c>
      <c r="E73" s="82">
        <f>'2º TRIMESTRE'!E73</f>
        <v>3139993</v>
      </c>
      <c r="F73" s="82">
        <f>'2º TRIMESTRE'!F73</f>
        <v>0</v>
      </c>
      <c r="G73" s="15" t="str">
        <f>'2º TRIMESTRE'!G73</f>
        <v>03.608.944/0001-34</v>
      </c>
      <c r="H73" s="14" t="str">
        <f>'2º TRIMESTRE'!H73</f>
        <v>JEPAC CONSTRUCOES LTDA</v>
      </c>
      <c r="I73" s="15" t="str">
        <f>'2º TRIMESTRE'!I73</f>
        <v>6-013/22</v>
      </c>
      <c r="J73" s="52">
        <f>'2º TRIMESTRE'!J73</f>
        <v>44650</v>
      </c>
      <c r="K73" s="15">
        <f>'2º TRIMESTRE'!K73</f>
        <v>150</v>
      </c>
      <c r="L73" s="82">
        <f>'2º TRIMESTRE'!L73</f>
        <v>789983.51</v>
      </c>
      <c r="M73" s="52">
        <f t="shared" ref="M73:M87" si="1">J73+K73+N73</f>
        <v>44800</v>
      </c>
      <c r="N73" s="15">
        <f>'2º TRIMESTRE'!N73</f>
        <v>0</v>
      </c>
      <c r="O73" s="82">
        <f>'2º TRIMESTRE'!O73</f>
        <v>0</v>
      </c>
      <c r="P73" s="82">
        <f>'2º TRIMESTRE'!P73</f>
        <v>0</v>
      </c>
      <c r="Q73" s="15" t="str">
        <f>'2º TRIMESTRE'!Q73</f>
        <v>4.4.90.39</v>
      </c>
      <c r="R73" s="82">
        <f>'2º TRIMESTRE'!R73</f>
        <v>0</v>
      </c>
      <c r="S73" s="93">
        <v>0</v>
      </c>
      <c r="T73" s="82">
        <f>'2º TRIMESTRE'!T73+S73</f>
        <v>0</v>
      </c>
      <c r="U73" s="82" t="e">
        <f>'2º TRIMESTRE'!U73+S73</f>
        <v>#REF!</v>
      </c>
      <c r="V73" s="15" t="str">
        <f>'2º TRIMESTRE'!V73</f>
        <v>andamento</v>
      </c>
      <c r="W73" s="45"/>
    </row>
    <row r="74" spans="1:23" ht="42.9">
      <c r="A74" s="14" t="str">
        <f>'2º TRIMESTRE'!A74</f>
        <v>CONCORRÊNCIA / nº 001/2021</v>
      </c>
      <c r="B74" s="14" t="str">
        <f>'2º TRIMESTRE'!B74</f>
        <v>CONTRATAÇÃO DE EMPRESA SANITÁRIA ESPECIALIZADA PARA A EXECUÇÃO DOS SERVIÇOS DE COLETA E LIMPEZA URBANA NO MUNICÍPIO DO RECIFE. LOTE 1- A</v>
      </c>
      <c r="C74" s="14">
        <f>'2º TRIMESTRE'!C74</f>
        <v>0</v>
      </c>
      <c r="D74" s="14">
        <f>'2º TRIMESTRE'!D74</f>
        <v>0</v>
      </c>
      <c r="E74" s="82">
        <f>'2º TRIMESTRE'!E74</f>
        <v>0</v>
      </c>
      <c r="F74" s="82">
        <f>'2º TRIMESTRE'!F74</f>
        <v>0</v>
      </c>
      <c r="G74" s="15" t="str">
        <f>'2º TRIMESTRE'!G74</f>
        <v>02.536.066/0015-21</v>
      </c>
      <c r="H74" s="14" t="str">
        <f>'2º TRIMESTRE'!H74</f>
        <v>VITAL ENGENHARIA AMBIENTAL S/A</v>
      </c>
      <c r="I74" s="15" t="str">
        <f>'2º TRIMESTRE'!I74</f>
        <v>6-014/22</v>
      </c>
      <c r="J74" s="52">
        <f>'2º TRIMESTRE'!J74</f>
        <v>44649</v>
      </c>
      <c r="K74" s="15">
        <f>'2º TRIMESTRE'!K74</f>
        <v>1825</v>
      </c>
      <c r="L74" s="82">
        <f>'2º TRIMESTRE'!L74</f>
        <v>201897816.06</v>
      </c>
      <c r="M74" s="52">
        <f t="shared" si="1"/>
        <v>46474</v>
      </c>
      <c r="N74" s="15">
        <f>'2º TRIMESTRE'!N74</f>
        <v>0</v>
      </c>
      <c r="O74" s="82">
        <f>'2º TRIMESTRE'!O74</f>
        <v>0</v>
      </c>
      <c r="P74" s="82">
        <f>'2º TRIMESTRE'!P74</f>
        <v>0</v>
      </c>
      <c r="Q74" s="15" t="str">
        <f>'2º TRIMESTRE'!Q74</f>
        <v>3.3.90.39</v>
      </c>
      <c r="R74" s="82">
        <f>'2º TRIMESTRE'!R74</f>
        <v>0</v>
      </c>
      <c r="S74" s="82">
        <v>0</v>
      </c>
      <c r="T74" s="82">
        <f>'2º TRIMESTRE'!T74+S74</f>
        <v>0</v>
      </c>
      <c r="U74" s="82" t="e">
        <f>'2º TRIMESTRE'!U74+S74</f>
        <v>#REF!</v>
      </c>
      <c r="V74" s="15" t="str">
        <f>'2º TRIMESTRE'!V74</f>
        <v>andamento</v>
      </c>
      <c r="W74" s="45"/>
    </row>
    <row r="75" spans="1:23" ht="42.9">
      <c r="A75" s="14" t="str">
        <f>'2º TRIMESTRE'!A75</f>
        <v>CONCORRÊNCIA / nº 001/2021</v>
      </c>
      <c r="B75" s="14" t="str">
        <f>'2º TRIMESTRE'!B75</f>
        <v>CONTRATAÇÃO DE EMPRESA SANITÁRIA ESPECIALIZADA PARA A EXECUÇÃO DOS SERVIÇOS DE COLETA E LIMPEZA URBANA NO MUNICÍPIO DO RECIFE. LOTE 1-B</v>
      </c>
      <c r="C75" s="14">
        <f>'2º TRIMESTRE'!C75</f>
        <v>0</v>
      </c>
      <c r="D75" s="14">
        <f>'2º TRIMESTRE'!D75</f>
        <v>0</v>
      </c>
      <c r="E75" s="82">
        <f>'2º TRIMESTRE'!E75</f>
        <v>0</v>
      </c>
      <c r="F75" s="82">
        <f>'2º TRIMESTRE'!F75</f>
        <v>0</v>
      </c>
      <c r="G75" s="15" t="str">
        <f>'2º TRIMESTRE'!G75</f>
        <v>12.854.865/0001-02</v>
      </c>
      <c r="H75" s="14" t="str">
        <f>'2º TRIMESTRE'!H75</f>
        <v>COELHO DE ANDRADE ENGENHARIA LTDA</v>
      </c>
      <c r="I75" s="15" t="str">
        <f>'2º TRIMESTRE'!I75</f>
        <v>6-015/22</v>
      </c>
      <c r="J75" s="52">
        <f>'2º TRIMESTRE'!J75</f>
        <v>44649</v>
      </c>
      <c r="K75" s="15">
        <f>'2º TRIMESTRE'!K75</f>
        <v>1825</v>
      </c>
      <c r="L75" s="82">
        <f>'2º TRIMESTRE'!L75</f>
        <v>86512024.75</v>
      </c>
      <c r="M75" s="52">
        <f t="shared" si="1"/>
        <v>46474</v>
      </c>
      <c r="N75" s="15">
        <f>'2º TRIMESTRE'!N75</f>
        <v>0</v>
      </c>
      <c r="O75" s="82">
        <f>'2º TRIMESTRE'!O75</f>
        <v>0</v>
      </c>
      <c r="P75" s="82">
        <f>'2º TRIMESTRE'!P75</f>
        <v>0</v>
      </c>
      <c r="Q75" s="15" t="str">
        <f>'2º TRIMESTRE'!Q75</f>
        <v>3.3.90.39</v>
      </c>
      <c r="R75" s="82">
        <f>'2º TRIMESTRE'!R75</f>
        <v>0</v>
      </c>
      <c r="S75" s="82">
        <v>0</v>
      </c>
      <c r="T75" s="82">
        <f>'2º TRIMESTRE'!T75+S75</f>
        <v>0</v>
      </c>
      <c r="U75" s="82" t="e">
        <f>'2º TRIMESTRE'!U75+S75</f>
        <v>#REF!</v>
      </c>
      <c r="V75" s="15" t="str">
        <f>'2º TRIMESTRE'!V75</f>
        <v>andamento</v>
      </c>
      <c r="W75" s="45"/>
    </row>
    <row r="76" spans="1:23" ht="42.9">
      <c r="A76" s="14" t="str">
        <f>'2º TRIMESTRE'!A76</f>
        <v>CONCORRÊNCIA / nº 001/2021</v>
      </c>
      <c r="B76" s="14" t="str">
        <f>'2º TRIMESTRE'!B76</f>
        <v>CONTRATAÇÃO DE EMPRESA SANITÁRIA ESPECIALIZADA PARA A EXECUÇÃO DOS SERVIÇOS DE COLETA E LIMPEZA URBANA NO MUNICÍPIO DO RECIFE. LOTE 2- A</v>
      </c>
      <c r="C76" s="14">
        <f>'2º TRIMESTRE'!C76</f>
        <v>0</v>
      </c>
      <c r="D76" s="14">
        <f>'2º TRIMESTRE'!D76</f>
        <v>0</v>
      </c>
      <c r="E76" s="82">
        <f>'2º TRIMESTRE'!E76</f>
        <v>0</v>
      </c>
      <c r="F76" s="82">
        <f>'2º TRIMESTRE'!F76</f>
        <v>0</v>
      </c>
      <c r="G76" s="15" t="str">
        <f>'2º TRIMESTRE'!G76</f>
        <v>02.536.066/0015-21</v>
      </c>
      <c r="H76" s="14" t="str">
        <f>'2º TRIMESTRE'!H76</f>
        <v>VITAL ENGENHARIA AMBIENTAL S/A</v>
      </c>
      <c r="I76" s="15" t="str">
        <f>'2º TRIMESTRE'!I76</f>
        <v>6-016/22</v>
      </c>
      <c r="J76" s="52">
        <f>'2º TRIMESTRE'!J76</f>
        <v>44649</v>
      </c>
      <c r="K76" s="15">
        <f>'2º TRIMESTRE'!K76</f>
        <v>1825</v>
      </c>
      <c r="L76" s="82">
        <f>'2º TRIMESTRE'!L76</f>
        <v>480063123.50999999</v>
      </c>
      <c r="M76" s="52">
        <f t="shared" si="1"/>
        <v>46474</v>
      </c>
      <c r="N76" s="15">
        <f>'2º TRIMESTRE'!N76</f>
        <v>0</v>
      </c>
      <c r="O76" s="82">
        <f>'2º TRIMESTRE'!O76</f>
        <v>0</v>
      </c>
      <c r="P76" s="82">
        <f>'2º TRIMESTRE'!P76</f>
        <v>0</v>
      </c>
      <c r="Q76" s="15" t="str">
        <f>'2º TRIMESTRE'!Q76</f>
        <v>3.3.90.39</v>
      </c>
      <c r="R76" s="82">
        <f>'2º TRIMESTRE'!R76</f>
        <v>0</v>
      </c>
      <c r="S76" s="82">
        <v>0</v>
      </c>
      <c r="T76" s="82">
        <f>'2º TRIMESTRE'!T76+S76</f>
        <v>0</v>
      </c>
      <c r="U76" s="82" t="e">
        <f>'2º TRIMESTRE'!U76+S76</f>
        <v>#REF!</v>
      </c>
      <c r="V76" s="15" t="str">
        <f>'2º TRIMESTRE'!V76</f>
        <v>andamento</v>
      </c>
      <c r="W76" s="45"/>
    </row>
    <row r="77" spans="1:23" ht="42.9">
      <c r="A77" s="14" t="str">
        <f>'2º TRIMESTRE'!A77</f>
        <v>CONCORRÊNCIA / nº 001/2021</v>
      </c>
      <c r="B77" s="14" t="str">
        <f>'2º TRIMESTRE'!B77</f>
        <v>CONTRATAÇÃO DE EMPRESA SANITÁRIA ESPECIALIZADA PARA A EXECUÇÃO DOS SERVIÇOS DE COLETA E LIMPEZA URBANA NO MUNICÍPIO DO RECIFE. LOTE 2-B</v>
      </c>
      <c r="C77" s="14">
        <f>'2º TRIMESTRE'!C77</f>
        <v>0</v>
      </c>
      <c r="D77" s="14">
        <f>'2º TRIMESTRE'!D77</f>
        <v>0</v>
      </c>
      <c r="E77" s="82">
        <f>'2º TRIMESTRE'!E77</f>
        <v>0</v>
      </c>
      <c r="F77" s="82">
        <f>'2º TRIMESTRE'!F77</f>
        <v>0</v>
      </c>
      <c r="G77" s="15" t="str">
        <f>'2º TRIMESTRE'!G77</f>
        <v>12.854.865/0001-02</v>
      </c>
      <c r="H77" s="14" t="str">
        <f>'2º TRIMESTRE'!H77</f>
        <v>COELHO DE ANDRADE ENGENHARIA LTDA</v>
      </c>
      <c r="I77" s="15" t="str">
        <f>'2º TRIMESTRE'!I77</f>
        <v>6-017/22</v>
      </c>
      <c r="J77" s="52">
        <f>'2º TRIMESTRE'!J77</f>
        <v>44649</v>
      </c>
      <c r="K77" s="15">
        <f>'2º TRIMESTRE'!K77</f>
        <v>1825</v>
      </c>
      <c r="L77" s="82">
        <f>'2º TRIMESTRE'!L77</f>
        <v>205730360.58000001</v>
      </c>
      <c r="M77" s="52">
        <f t="shared" si="1"/>
        <v>46474</v>
      </c>
      <c r="N77" s="15">
        <f>'2º TRIMESTRE'!N77</f>
        <v>0</v>
      </c>
      <c r="O77" s="82">
        <f>'2º TRIMESTRE'!O77</f>
        <v>0</v>
      </c>
      <c r="P77" s="82">
        <f>'2º TRIMESTRE'!P77</f>
        <v>0</v>
      </c>
      <c r="Q77" s="15" t="str">
        <f>'2º TRIMESTRE'!Q77</f>
        <v>3.3.90.39</v>
      </c>
      <c r="R77" s="82">
        <f>'2º TRIMESTRE'!R77+69093.39</f>
        <v>69093.39</v>
      </c>
      <c r="S77" s="82">
        <v>69093.39</v>
      </c>
      <c r="T77" s="82">
        <f>'2º TRIMESTRE'!T77+S77</f>
        <v>69093.39</v>
      </c>
      <c r="U77" s="82" t="e">
        <f>'2º TRIMESTRE'!U77+S77</f>
        <v>#REF!</v>
      </c>
      <c r="V77" s="15" t="str">
        <f>'2º TRIMESTRE'!V77</f>
        <v>andamento</v>
      </c>
      <c r="W77" s="45"/>
    </row>
    <row r="78" spans="1:23" ht="64.3">
      <c r="A78" s="14" t="str">
        <f>'2º TRIMESTRE'!A78</f>
        <v>CONCORRÊNCIA / nº 021/2021</v>
      </c>
      <c r="B78" s="14" t="str">
        <f>'2º TRIMESTRE'!B78</f>
        <v>CONTRATAÇÃO DE EMPRESA DE ENGENHARIA, ESPECIALIZADA EM ILUMINAÇÃO PÚBLICA, PARA FORNECIMENTO E INSTALAÇÃO DE LUMINÁRIAS RGB COM TECNOLOGIA LED E REDE ELÉTRICA, PARA ILUMINAÇÃO CÊNICA, DO TEATRO SANTA IZABEL BAIRRO SANTO ANTÔNIO</v>
      </c>
      <c r="C78" s="14" t="str">
        <f>'2º TRIMESTRE'!C78</f>
        <v>532561/2020</v>
      </c>
      <c r="D78" s="14" t="str">
        <f>'2º TRIMESTRE'!D78</f>
        <v>FINISA</v>
      </c>
      <c r="E78" s="82">
        <f>'2º TRIMESTRE'!E78</f>
        <v>50000000</v>
      </c>
      <c r="F78" s="82">
        <f>'2º TRIMESTRE'!F78</f>
        <v>0</v>
      </c>
      <c r="G78" s="15" t="str">
        <f>'2º TRIMESTRE'!G78</f>
        <v>01.346.561/0001-00</v>
      </c>
      <c r="H78" s="14" t="str">
        <f>'2º TRIMESTRE'!H78</f>
        <v>VASCONCELOS E SANTOS LTDA</v>
      </c>
      <c r="I78" s="15" t="str">
        <f>'2º TRIMESTRE'!I78</f>
        <v>6-019/22</v>
      </c>
      <c r="J78" s="52">
        <f>'2º TRIMESTRE'!J78</f>
        <v>44651</v>
      </c>
      <c r="K78" s="15">
        <f>'2º TRIMESTRE'!K78</f>
        <v>150</v>
      </c>
      <c r="L78" s="82">
        <f>'2º TRIMESTRE'!L78</f>
        <v>306496.2</v>
      </c>
      <c r="M78" s="52">
        <f t="shared" si="1"/>
        <v>44801</v>
      </c>
      <c r="N78" s="15">
        <f>'2º TRIMESTRE'!N78</f>
        <v>0</v>
      </c>
      <c r="O78" s="82">
        <f>'2º TRIMESTRE'!O78</f>
        <v>0</v>
      </c>
      <c r="P78" s="82">
        <f>'2º TRIMESTRE'!P78</f>
        <v>0</v>
      </c>
      <c r="Q78" s="15" t="str">
        <f>'2º TRIMESTRE'!Q78</f>
        <v>4.4.90.39</v>
      </c>
      <c r="R78" s="82">
        <f>'2º TRIMESTRE'!R78+174287.31</f>
        <v>174287.31</v>
      </c>
      <c r="S78" s="82">
        <v>174287.31</v>
      </c>
      <c r="T78" s="82">
        <f>'2º TRIMESTRE'!T78+S78</f>
        <v>174287.31</v>
      </c>
      <c r="U78" s="82" t="e">
        <f>'2º TRIMESTRE'!U78+S78</f>
        <v>#REF!</v>
      </c>
      <c r="V78" s="15" t="str">
        <f>'2º TRIMESTRE'!V78</f>
        <v>cadastrado</v>
      </c>
      <c r="W78" s="45"/>
    </row>
    <row r="79" spans="1:23">
      <c r="A79" s="14" t="e">
        <f>'2º TRIMESTRE'!A79</f>
        <v>#REF!</v>
      </c>
      <c r="B79" s="14" t="e">
        <f>'2º TRIMESTRE'!B79</f>
        <v>#REF!</v>
      </c>
      <c r="C79" s="14" t="e">
        <f>'2º TRIMESTRE'!C79</f>
        <v>#REF!</v>
      </c>
      <c r="D79" s="14" t="e">
        <f>'2º TRIMESTRE'!D79</f>
        <v>#REF!</v>
      </c>
      <c r="E79" s="82" t="e">
        <f>'2º TRIMESTRE'!E79</f>
        <v>#REF!</v>
      </c>
      <c r="F79" s="82" t="e">
        <f>'2º TRIMESTRE'!F79</f>
        <v>#REF!</v>
      </c>
      <c r="G79" s="15" t="e">
        <f>'2º TRIMESTRE'!G79</f>
        <v>#REF!</v>
      </c>
      <c r="H79" s="14" t="e">
        <f>'2º TRIMESTRE'!H79</f>
        <v>#REF!</v>
      </c>
      <c r="I79" s="15" t="e">
        <f>'2º TRIMESTRE'!I79</f>
        <v>#REF!</v>
      </c>
      <c r="J79" s="52" t="e">
        <f>'2º TRIMESTRE'!J79</f>
        <v>#REF!</v>
      </c>
      <c r="K79" s="15" t="e">
        <f>'2º TRIMESTRE'!K79</f>
        <v>#REF!</v>
      </c>
      <c r="L79" s="82" t="e">
        <f>'2º TRIMESTRE'!L79</f>
        <v>#REF!</v>
      </c>
      <c r="M79" s="52" t="e">
        <f t="shared" si="1"/>
        <v>#REF!</v>
      </c>
      <c r="N79" s="15" t="e">
        <f>'2º TRIMESTRE'!N79</f>
        <v>#REF!</v>
      </c>
      <c r="O79" s="82" t="e">
        <f>'2º TRIMESTRE'!O79</f>
        <v>#REF!</v>
      </c>
      <c r="P79" s="82" t="e">
        <f>'2º TRIMESTRE'!P79</f>
        <v>#REF!</v>
      </c>
      <c r="Q79" s="15" t="e">
        <f>'2º TRIMESTRE'!Q79</f>
        <v>#REF!</v>
      </c>
      <c r="R79" s="82" t="e">
        <f>'2º TRIMESTRE'!R79</f>
        <v>#REF!</v>
      </c>
      <c r="S79" s="93"/>
      <c r="T79" s="82" t="e">
        <f>'2º TRIMESTRE'!T79+S79</f>
        <v>#REF!</v>
      </c>
      <c r="U79" s="82" t="e">
        <f>'2º TRIMESTRE'!U79+S79</f>
        <v>#REF!</v>
      </c>
      <c r="V79" s="15" t="e">
        <f>'2º TRIMESTRE'!V79</f>
        <v>#REF!</v>
      </c>
      <c r="W79" s="45"/>
    </row>
    <row r="80" spans="1:23">
      <c r="A80" s="14" t="e">
        <f>'2º TRIMESTRE'!A80</f>
        <v>#REF!</v>
      </c>
      <c r="B80" s="14" t="e">
        <f>'2º TRIMESTRE'!B80</f>
        <v>#REF!</v>
      </c>
      <c r="C80" s="14" t="e">
        <f>'2º TRIMESTRE'!C80</f>
        <v>#REF!</v>
      </c>
      <c r="D80" s="14" t="e">
        <f>'2º TRIMESTRE'!D80</f>
        <v>#REF!</v>
      </c>
      <c r="E80" s="82" t="e">
        <f>'2º TRIMESTRE'!E80</f>
        <v>#REF!</v>
      </c>
      <c r="F80" s="82" t="e">
        <f>'2º TRIMESTRE'!F80</f>
        <v>#REF!</v>
      </c>
      <c r="G80" s="15" t="e">
        <f>'2º TRIMESTRE'!G80</f>
        <v>#REF!</v>
      </c>
      <c r="H80" s="14" t="e">
        <f>'2º TRIMESTRE'!H80</f>
        <v>#REF!</v>
      </c>
      <c r="I80" s="15" t="e">
        <f>'2º TRIMESTRE'!I80</f>
        <v>#REF!</v>
      </c>
      <c r="J80" s="52" t="e">
        <f>'2º TRIMESTRE'!J80</f>
        <v>#REF!</v>
      </c>
      <c r="K80" s="15" t="e">
        <f>'2º TRIMESTRE'!K80</f>
        <v>#REF!</v>
      </c>
      <c r="L80" s="82" t="e">
        <f>'2º TRIMESTRE'!L80</f>
        <v>#REF!</v>
      </c>
      <c r="M80" s="52" t="e">
        <f t="shared" si="1"/>
        <v>#REF!</v>
      </c>
      <c r="N80" s="15" t="e">
        <f>'2º TRIMESTRE'!N80+129</f>
        <v>#REF!</v>
      </c>
      <c r="O80" s="82" t="e">
        <f>'2º TRIMESTRE'!O80</f>
        <v>#REF!</v>
      </c>
      <c r="P80" s="82" t="e">
        <f>'2º TRIMESTRE'!P80</f>
        <v>#REF!</v>
      </c>
      <c r="Q80" s="15" t="e">
        <f>'2º TRIMESTRE'!Q80</f>
        <v>#REF!</v>
      </c>
      <c r="R80" s="82" t="e">
        <f>'2º TRIMESTRE'!R80</f>
        <v>#REF!</v>
      </c>
      <c r="S80" s="82">
        <v>146608.67000000001</v>
      </c>
      <c r="T80" s="82" t="e">
        <f>'2º TRIMESTRE'!T80+S80</f>
        <v>#REF!</v>
      </c>
      <c r="U80" s="82" t="e">
        <f>'2º TRIMESTRE'!U80+S80</f>
        <v>#REF!</v>
      </c>
      <c r="V80" s="15" t="e">
        <f>'2º TRIMESTRE'!V80</f>
        <v>#REF!</v>
      </c>
      <c r="W80" s="45"/>
    </row>
    <row r="81" spans="1:23">
      <c r="A81" s="14" t="e">
        <f>'2º TRIMESTRE'!A81</f>
        <v>#REF!</v>
      </c>
      <c r="B81" s="14" t="e">
        <f>'2º TRIMESTRE'!B81</f>
        <v>#REF!</v>
      </c>
      <c r="C81" s="14" t="e">
        <f>'2º TRIMESTRE'!C81</f>
        <v>#REF!</v>
      </c>
      <c r="D81" s="14" t="e">
        <f>'2º TRIMESTRE'!D81</f>
        <v>#REF!</v>
      </c>
      <c r="E81" s="82" t="e">
        <f>'2º TRIMESTRE'!E81</f>
        <v>#REF!</v>
      </c>
      <c r="F81" s="82" t="e">
        <f>'2º TRIMESTRE'!F81</f>
        <v>#REF!</v>
      </c>
      <c r="G81" s="15" t="e">
        <f>'2º TRIMESTRE'!G81</f>
        <v>#REF!</v>
      </c>
      <c r="H81" s="14" t="e">
        <f>'2º TRIMESTRE'!H81</f>
        <v>#REF!</v>
      </c>
      <c r="I81" s="15" t="e">
        <f>'2º TRIMESTRE'!I81</f>
        <v>#REF!</v>
      </c>
      <c r="J81" s="52" t="e">
        <f>'2º TRIMESTRE'!J81</f>
        <v>#REF!</v>
      </c>
      <c r="K81" s="15" t="e">
        <f>'2º TRIMESTRE'!K81</f>
        <v>#REF!</v>
      </c>
      <c r="L81" s="82" t="e">
        <f>'2º TRIMESTRE'!L81</f>
        <v>#REF!</v>
      </c>
      <c r="M81" s="52" t="e">
        <f t="shared" si="1"/>
        <v>#REF!</v>
      </c>
      <c r="N81" s="15" t="e">
        <f>'2º TRIMESTRE'!N81+79</f>
        <v>#REF!</v>
      </c>
      <c r="O81" s="82" t="e">
        <f>'2º TRIMESTRE'!O81</f>
        <v>#REF!</v>
      </c>
      <c r="P81" s="82" t="e">
        <f>'2º TRIMESTRE'!P81</f>
        <v>#REF!</v>
      </c>
      <c r="Q81" s="15" t="e">
        <f>'2º TRIMESTRE'!Q81</f>
        <v>#REF!</v>
      </c>
      <c r="R81" s="82" t="e">
        <f>'2º TRIMESTRE'!R81+434938.74</f>
        <v>#REF!</v>
      </c>
      <c r="S81" s="82">
        <v>573085.22</v>
      </c>
      <c r="T81" s="82" t="e">
        <f>'2º TRIMESTRE'!T81+S81</f>
        <v>#REF!</v>
      </c>
      <c r="U81" s="82" t="e">
        <f>'2º TRIMESTRE'!U81+S81</f>
        <v>#REF!</v>
      </c>
      <c r="V81" s="15" t="e">
        <f>'2º TRIMESTRE'!V81</f>
        <v>#REF!</v>
      </c>
      <c r="W81" s="45"/>
    </row>
    <row r="82" spans="1:23">
      <c r="A82" s="14" t="e">
        <f>'2º TRIMESTRE'!A82</f>
        <v>#REF!</v>
      </c>
      <c r="B82" s="14" t="e">
        <f>'2º TRIMESTRE'!B82</f>
        <v>#REF!</v>
      </c>
      <c r="C82" s="14" t="e">
        <f>'2º TRIMESTRE'!C82</f>
        <v>#REF!</v>
      </c>
      <c r="D82" s="14" t="e">
        <f>'2º TRIMESTRE'!D82</f>
        <v>#REF!</v>
      </c>
      <c r="E82" s="82" t="e">
        <f>'2º TRIMESTRE'!E82</f>
        <v>#REF!</v>
      </c>
      <c r="F82" s="82" t="e">
        <f>'2º TRIMESTRE'!F82</f>
        <v>#REF!</v>
      </c>
      <c r="G82" s="15" t="e">
        <f>'2º TRIMESTRE'!G82</f>
        <v>#REF!</v>
      </c>
      <c r="H82" s="14" t="e">
        <f>'2º TRIMESTRE'!H82</f>
        <v>#REF!</v>
      </c>
      <c r="I82" s="15" t="e">
        <f>'2º TRIMESTRE'!I82</f>
        <v>#REF!</v>
      </c>
      <c r="J82" s="52" t="e">
        <f>'2º TRIMESTRE'!J82</f>
        <v>#REF!</v>
      </c>
      <c r="K82" s="15" t="e">
        <f>'2º TRIMESTRE'!K82</f>
        <v>#REF!</v>
      </c>
      <c r="L82" s="82" t="e">
        <f>'2º TRIMESTRE'!L82</f>
        <v>#REF!</v>
      </c>
      <c r="M82" s="52" t="e">
        <f t="shared" si="1"/>
        <v>#REF!</v>
      </c>
      <c r="N82" s="15" t="e">
        <f>'2º TRIMESTRE'!N82</f>
        <v>#REF!</v>
      </c>
      <c r="O82" s="82" t="e">
        <f>'2º TRIMESTRE'!O82</f>
        <v>#REF!</v>
      </c>
      <c r="P82" s="82" t="e">
        <f>'2º TRIMESTRE'!P82</f>
        <v>#REF!</v>
      </c>
      <c r="Q82" s="15" t="e">
        <f>'2º TRIMESTRE'!Q82</f>
        <v>#REF!</v>
      </c>
      <c r="R82" s="82" t="e">
        <f>'2º TRIMESTRE'!R82+1470491.69</f>
        <v>#REF!</v>
      </c>
      <c r="S82" s="82">
        <v>1572631.8</v>
      </c>
      <c r="T82" s="82" t="e">
        <f>'2º TRIMESTRE'!T82+S82</f>
        <v>#REF!</v>
      </c>
      <c r="U82" s="82" t="e">
        <f>'2º TRIMESTRE'!U82+S82</f>
        <v>#REF!</v>
      </c>
      <c r="V82" s="15" t="e">
        <f>'2º TRIMESTRE'!V82</f>
        <v>#REF!</v>
      </c>
      <c r="W82" s="45"/>
    </row>
    <row r="83" spans="1:23">
      <c r="A83" s="14" t="e">
        <f>'2º TRIMESTRE'!A83</f>
        <v>#REF!</v>
      </c>
      <c r="B83" s="14" t="e">
        <f>'2º TRIMESTRE'!B83</f>
        <v>#REF!</v>
      </c>
      <c r="C83" s="14" t="e">
        <f>'2º TRIMESTRE'!C83</f>
        <v>#REF!</v>
      </c>
      <c r="D83" s="14" t="e">
        <f>'2º TRIMESTRE'!D83</f>
        <v>#REF!</v>
      </c>
      <c r="E83" s="82" t="e">
        <f>'2º TRIMESTRE'!E83</f>
        <v>#REF!</v>
      </c>
      <c r="F83" s="82" t="e">
        <f>'2º TRIMESTRE'!F83</f>
        <v>#REF!</v>
      </c>
      <c r="G83" s="15" t="e">
        <f>'2º TRIMESTRE'!G83</f>
        <v>#REF!</v>
      </c>
      <c r="H83" s="14" t="e">
        <f>'2º TRIMESTRE'!H83</f>
        <v>#REF!</v>
      </c>
      <c r="I83" s="15" t="e">
        <f>'2º TRIMESTRE'!I83</f>
        <v>#REF!</v>
      </c>
      <c r="J83" s="52" t="e">
        <f>'2º TRIMESTRE'!J83</f>
        <v>#REF!</v>
      </c>
      <c r="K83" s="15" t="e">
        <f>'2º TRIMESTRE'!K83</f>
        <v>#REF!</v>
      </c>
      <c r="L83" s="82" t="e">
        <f>'2º TRIMESTRE'!L83</f>
        <v>#REF!</v>
      </c>
      <c r="M83" s="52" t="e">
        <f t="shared" si="1"/>
        <v>#REF!</v>
      </c>
      <c r="N83" s="15" t="e">
        <f>'2º TRIMESTRE'!N83</f>
        <v>#REF!</v>
      </c>
      <c r="O83" s="82" t="e">
        <f>'2º TRIMESTRE'!O83</f>
        <v>#REF!</v>
      </c>
      <c r="P83" s="82" t="e">
        <f>'2º TRIMESTRE'!P83</f>
        <v>#REF!</v>
      </c>
      <c r="Q83" s="15" t="e">
        <f>'2º TRIMESTRE'!Q83</f>
        <v>#REF!</v>
      </c>
      <c r="R83" s="82" t="e">
        <f>'2º TRIMESTRE'!R83</f>
        <v>#REF!</v>
      </c>
      <c r="S83" s="82"/>
      <c r="T83" s="82" t="e">
        <f>'2º TRIMESTRE'!T83+S83</f>
        <v>#REF!</v>
      </c>
      <c r="U83" s="82" t="e">
        <f>'2º TRIMESTRE'!U83+S83</f>
        <v>#REF!</v>
      </c>
      <c r="V83" s="15" t="e">
        <f>'2º TRIMESTRE'!V83</f>
        <v>#REF!</v>
      </c>
      <c r="W83" s="45"/>
    </row>
    <row r="84" spans="1:23">
      <c r="A84" s="14" t="e">
        <f>'2º TRIMESTRE'!A84</f>
        <v>#REF!</v>
      </c>
      <c r="B84" s="14" t="e">
        <f>'2º TRIMESTRE'!B84</f>
        <v>#REF!</v>
      </c>
      <c r="C84" s="14" t="e">
        <f>'2º TRIMESTRE'!C84</f>
        <v>#REF!</v>
      </c>
      <c r="D84" s="14" t="e">
        <f>'2º TRIMESTRE'!D84</f>
        <v>#REF!</v>
      </c>
      <c r="E84" s="82" t="e">
        <f>'2º TRIMESTRE'!E84</f>
        <v>#REF!</v>
      </c>
      <c r="F84" s="82" t="e">
        <f>'2º TRIMESTRE'!F84</f>
        <v>#REF!</v>
      </c>
      <c r="G84" s="15" t="e">
        <f>'2º TRIMESTRE'!G84</f>
        <v>#REF!</v>
      </c>
      <c r="H84" s="14" t="e">
        <f>'2º TRIMESTRE'!H84</f>
        <v>#REF!</v>
      </c>
      <c r="I84" s="15" t="e">
        <f>'2º TRIMESTRE'!I84</f>
        <v>#REF!</v>
      </c>
      <c r="J84" s="52" t="e">
        <f>'2º TRIMESTRE'!J84</f>
        <v>#REF!</v>
      </c>
      <c r="K84" s="15" t="e">
        <f>'2º TRIMESTRE'!K84</f>
        <v>#REF!</v>
      </c>
      <c r="L84" s="82" t="e">
        <f>'2º TRIMESTRE'!L84</f>
        <v>#REF!</v>
      </c>
      <c r="M84" s="52" t="e">
        <f t="shared" si="1"/>
        <v>#REF!</v>
      </c>
      <c r="N84" s="15" t="e">
        <f>'2º TRIMESTRE'!N84</f>
        <v>#REF!</v>
      </c>
      <c r="O84" s="82" t="e">
        <f>'2º TRIMESTRE'!O84</f>
        <v>#REF!</v>
      </c>
      <c r="P84" s="82" t="e">
        <f>'2º TRIMESTRE'!P84</f>
        <v>#REF!</v>
      </c>
      <c r="Q84" s="15" t="e">
        <f>'2º TRIMESTRE'!Q84</f>
        <v>#REF!</v>
      </c>
      <c r="R84" s="82" t="e">
        <f>'2º TRIMESTRE'!R84+365777.28</f>
        <v>#REF!</v>
      </c>
      <c r="S84" s="82">
        <v>365777.28</v>
      </c>
      <c r="T84" s="82" t="e">
        <f>'2º TRIMESTRE'!T84+S84</f>
        <v>#REF!</v>
      </c>
      <c r="U84" s="82" t="e">
        <f>'2º TRIMESTRE'!U84+S84</f>
        <v>#REF!</v>
      </c>
      <c r="V84" s="15" t="e">
        <f>'2º TRIMESTRE'!V84</f>
        <v>#REF!</v>
      </c>
      <c r="W84" s="45"/>
    </row>
    <row r="85" spans="1:23">
      <c r="A85" s="14" t="e">
        <f>'2º TRIMESTRE'!A85</f>
        <v>#REF!</v>
      </c>
      <c r="B85" s="14" t="e">
        <f>'2º TRIMESTRE'!B85</f>
        <v>#REF!</v>
      </c>
      <c r="C85" s="14" t="e">
        <f>'2º TRIMESTRE'!C85</f>
        <v>#REF!</v>
      </c>
      <c r="D85" s="14" t="e">
        <f>'2º TRIMESTRE'!D85</f>
        <v>#REF!</v>
      </c>
      <c r="E85" s="82" t="e">
        <f>'2º TRIMESTRE'!E85</f>
        <v>#REF!</v>
      </c>
      <c r="F85" s="82" t="e">
        <f>'2º TRIMESTRE'!F85</f>
        <v>#REF!</v>
      </c>
      <c r="G85" s="15" t="e">
        <f>'2º TRIMESTRE'!G85</f>
        <v>#REF!</v>
      </c>
      <c r="H85" s="14" t="e">
        <f>'2º TRIMESTRE'!H85</f>
        <v>#REF!</v>
      </c>
      <c r="I85" s="15" t="e">
        <f>'2º TRIMESTRE'!I85</f>
        <v>#REF!</v>
      </c>
      <c r="J85" s="52" t="e">
        <f>'2º TRIMESTRE'!J85</f>
        <v>#REF!</v>
      </c>
      <c r="K85" s="15" t="e">
        <f>'2º TRIMESTRE'!K85</f>
        <v>#REF!</v>
      </c>
      <c r="L85" s="82" t="e">
        <f>'2º TRIMESTRE'!L85</f>
        <v>#REF!</v>
      </c>
      <c r="M85" s="52" t="e">
        <f t="shared" si="1"/>
        <v>#REF!</v>
      </c>
      <c r="N85" s="15" t="e">
        <f>'2º TRIMESTRE'!N85</f>
        <v>#REF!</v>
      </c>
      <c r="O85" s="82" t="e">
        <f>'2º TRIMESTRE'!O85</f>
        <v>#REF!</v>
      </c>
      <c r="P85" s="82" t="e">
        <f>'2º TRIMESTRE'!P85</f>
        <v>#REF!</v>
      </c>
      <c r="Q85" s="15" t="e">
        <f>'2º TRIMESTRE'!Q85</f>
        <v>#REF!</v>
      </c>
      <c r="R85" s="82" t="e">
        <f>'2º TRIMESTRE'!R85+413151.27</f>
        <v>#REF!</v>
      </c>
      <c r="S85" s="82">
        <v>413151.27</v>
      </c>
      <c r="T85" s="82" t="e">
        <f>'2º TRIMESTRE'!T85+S85</f>
        <v>#REF!</v>
      </c>
      <c r="U85" s="82" t="e">
        <f>'2º TRIMESTRE'!U85+S85</f>
        <v>#REF!</v>
      </c>
      <c r="V85" s="15" t="e">
        <f>'2º TRIMESTRE'!V85</f>
        <v>#REF!</v>
      </c>
      <c r="W85" s="45"/>
    </row>
    <row r="86" spans="1:23">
      <c r="A86" s="14" t="e">
        <f>'2º TRIMESTRE'!A86</f>
        <v>#REF!</v>
      </c>
      <c r="B86" s="14" t="e">
        <f>'2º TRIMESTRE'!B86</f>
        <v>#REF!</v>
      </c>
      <c r="C86" s="14" t="e">
        <f>'2º TRIMESTRE'!C86</f>
        <v>#REF!</v>
      </c>
      <c r="D86" s="14" t="e">
        <f>'2º TRIMESTRE'!D86</f>
        <v>#REF!</v>
      </c>
      <c r="E86" s="82" t="e">
        <f>'2º TRIMESTRE'!E86</f>
        <v>#REF!</v>
      </c>
      <c r="F86" s="82" t="e">
        <f>'2º TRIMESTRE'!F86</f>
        <v>#REF!</v>
      </c>
      <c r="G86" s="15" t="e">
        <f>'2º TRIMESTRE'!G86</f>
        <v>#REF!</v>
      </c>
      <c r="H86" s="14" t="e">
        <f>'2º TRIMESTRE'!H86</f>
        <v>#REF!</v>
      </c>
      <c r="I86" s="15" t="e">
        <f>'2º TRIMESTRE'!I86</f>
        <v>#REF!</v>
      </c>
      <c r="J86" s="52" t="e">
        <f>'2º TRIMESTRE'!J86</f>
        <v>#REF!</v>
      </c>
      <c r="K86" s="15" t="e">
        <f>'2º TRIMESTRE'!K86</f>
        <v>#REF!</v>
      </c>
      <c r="L86" s="82" t="e">
        <f>'2º TRIMESTRE'!L86</f>
        <v>#REF!</v>
      </c>
      <c r="M86" s="52" t="e">
        <f t="shared" si="1"/>
        <v>#REF!</v>
      </c>
      <c r="N86" s="15" t="e">
        <f>'2º TRIMESTRE'!N86</f>
        <v>#REF!</v>
      </c>
      <c r="O86" s="82" t="e">
        <f>'2º TRIMESTRE'!O86</f>
        <v>#REF!</v>
      </c>
      <c r="P86" s="82" t="e">
        <f>'2º TRIMESTRE'!P86</f>
        <v>#REF!</v>
      </c>
      <c r="Q86" s="15" t="e">
        <f>'2º TRIMESTRE'!Q86</f>
        <v>#REF!</v>
      </c>
      <c r="R86" s="82" t="e">
        <f>'2º TRIMESTRE'!R86+322735.38</f>
        <v>#REF!</v>
      </c>
      <c r="S86" s="82">
        <v>322735.38</v>
      </c>
      <c r="T86" s="82" t="e">
        <f>'2º TRIMESTRE'!T86+S86</f>
        <v>#REF!</v>
      </c>
      <c r="U86" s="82" t="e">
        <f>'2º TRIMESTRE'!U86+S86</f>
        <v>#REF!</v>
      </c>
      <c r="V86" s="15" t="e">
        <f>'2º TRIMESTRE'!V86</f>
        <v>#REF!</v>
      </c>
      <c r="W86" s="45"/>
    </row>
    <row r="87" spans="1:23">
      <c r="A87" s="14" t="e">
        <f>'2º TRIMESTRE'!A87</f>
        <v>#REF!</v>
      </c>
      <c r="B87" s="14" t="e">
        <f>'2º TRIMESTRE'!B87</f>
        <v>#REF!</v>
      </c>
      <c r="C87" s="14" t="e">
        <f>'2º TRIMESTRE'!C87</f>
        <v>#REF!</v>
      </c>
      <c r="D87" s="14" t="e">
        <f>'2º TRIMESTRE'!D87</f>
        <v>#REF!</v>
      </c>
      <c r="E87" s="82" t="e">
        <f>'2º TRIMESTRE'!E87</f>
        <v>#REF!</v>
      </c>
      <c r="F87" s="82" t="e">
        <f>'2º TRIMESTRE'!F87</f>
        <v>#REF!</v>
      </c>
      <c r="G87" s="15" t="e">
        <f>'2º TRIMESTRE'!G87</f>
        <v>#REF!</v>
      </c>
      <c r="H87" s="14" t="e">
        <f>'2º TRIMESTRE'!H87</f>
        <v>#REF!</v>
      </c>
      <c r="I87" s="15" t="e">
        <f>'2º TRIMESTRE'!I87</f>
        <v>#REF!</v>
      </c>
      <c r="J87" s="52" t="e">
        <f>'2º TRIMESTRE'!J87</f>
        <v>#REF!</v>
      </c>
      <c r="K87" s="15" t="e">
        <f>'2º TRIMESTRE'!K87</f>
        <v>#REF!</v>
      </c>
      <c r="L87" s="82" t="e">
        <f>'2º TRIMESTRE'!L87</f>
        <v>#REF!</v>
      </c>
      <c r="M87" s="52" t="e">
        <f t="shared" si="1"/>
        <v>#REF!</v>
      </c>
      <c r="N87" s="15" t="e">
        <f>'2º TRIMESTRE'!N87</f>
        <v>#REF!</v>
      </c>
      <c r="O87" s="82" t="e">
        <f>'2º TRIMESTRE'!O87</f>
        <v>#REF!</v>
      </c>
      <c r="P87" s="82" t="e">
        <f>'2º TRIMESTRE'!P87</f>
        <v>#REF!</v>
      </c>
      <c r="Q87" s="15" t="e">
        <f>'2º TRIMESTRE'!Q87</f>
        <v>#REF!</v>
      </c>
      <c r="R87" s="82" t="e">
        <f>'2º TRIMESTRE'!R87+119338.06</f>
        <v>#REF!</v>
      </c>
      <c r="S87" s="82">
        <v>119338.06</v>
      </c>
      <c r="T87" s="82" t="e">
        <f>'2º TRIMESTRE'!T87+S87</f>
        <v>#REF!</v>
      </c>
      <c r="U87" s="82" t="e">
        <f>'2º TRIMESTRE'!U87+S87</f>
        <v>#REF!</v>
      </c>
      <c r="V87" s="15" t="e">
        <f>'2º TRIMESTRE'!V87</f>
        <v>#REF!</v>
      </c>
      <c r="W87" s="45"/>
    </row>
  </sheetData>
  <sheetProtection selectLockedCells="1" selectUnlockedCells="1"/>
  <mergeCells count="20">
    <mergeCell ref="C6:F6"/>
    <mergeCell ref="B6:B7"/>
    <mergeCell ref="N6:O6"/>
    <mergeCell ref="A5:C5"/>
    <mergeCell ref="A1:V1"/>
    <mergeCell ref="A2:F2"/>
    <mergeCell ref="G2:V2"/>
    <mergeCell ref="V6:V7"/>
    <mergeCell ref="Q4:V4"/>
    <mergeCell ref="Q5:V5"/>
    <mergeCell ref="P6:P7"/>
    <mergeCell ref="Q6:U6"/>
    <mergeCell ref="A3:F3"/>
    <mergeCell ref="G3:V3"/>
    <mergeCell ref="F4:H4"/>
    <mergeCell ref="J4:O4"/>
    <mergeCell ref="F5:H5"/>
    <mergeCell ref="J5:O5"/>
    <mergeCell ref="G6:M6"/>
    <mergeCell ref="A6:A7"/>
  </mergeCells>
  <pageMargins left="0.19685039370078741" right="0.19685039370078741" top="0.43307086614173229" bottom="0.43307086614173229" header="0.19685039370078741" footer="0.19685039370078741"/>
  <pageSetup paperSize="9" scale="53" firstPageNumber="0" fitToWidth="2" fitToHeight="100" orientation="landscape" verticalDpi="300" r:id="rId1"/>
  <headerFooter alignWithMargins="0">
    <oddFooter>&amp;C&amp;"Arial,Normal"&amp;10Página &amp;P</oddFooter>
  </headerFooter>
</worksheet>
</file>

<file path=xl/worksheets/sheet4.xml><?xml version="1.0" encoding="utf-8"?>
<worksheet xmlns="http://schemas.openxmlformats.org/spreadsheetml/2006/main" xmlns:r="http://schemas.openxmlformats.org/officeDocument/2006/relationships">
  <sheetPr codeName="Plan5"/>
  <dimension ref="A1:AC87"/>
  <sheetViews>
    <sheetView workbookViewId="0">
      <selection activeCell="A5" sqref="A5:C5"/>
    </sheetView>
  </sheetViews>
  <sheetFormatPr defaultColWidth="9.15234375" defaultRowHeight="10.75"/>
  <cols>
    <col min="1" max="1" width="19.84375" style="20" bestFit="1" customWidth="1"/>
    <col min="2" max="2" width="41" style="20" customWidth="1"/>
    <col min="3" max="3" width="10" style="24" bestFit="1" customWidth="1"/>
    <col min="4" max="4" width="22.15234375" style="25" bestFit="1" customWidth="1"/>
    <col min="5" max="5" width="11.53515625" style="92" customWidth="1"/>
    <col min="6" max="6" width="10.3828125" style="92" customWidth="1"/>
    <col min="7" max="7" width="13.3046875" style="11" hidden="1" customWidth="1"/>
    <col min="8" max="8" width="25.69140625" style="43" hidden="1" customWidth="1"/>
    <col min="9" max="9" width="9.84375" style="11" bestFit="1" customWidth="1"/>
    <col min="10" max="10" width="12.84375" style="34" bestFit="1" customWidth="1"/>
    <col min="11" max="11" width="9.3828125" style="11" bestFit="1" customWidth="1"/>
    <col min="12" max="12" width="18.53515625" style="94" bestFit="1" customWidth="1"/>
    <col min="13" max="13" width="16.53515625" style="34" bestFit="1" customWidth="1"/>
    <col min="14" max="14" width="10.84375" style="11" bestFit="1" customWidth="1"/>
    <col min="15" max="15" width="24.3046875" style="92" bestFit="1" customWidth="1"/>
    <col min="16" max="16" width="11.15234375" style="92" bestFit="1" customWidth="1"/>
    <col min="17" max="17" width="14" style="24" bestFit="1" customWidth="1"/>
    <col min="18" max="18" width="23.69140625" style="94" bestFit="1" customWidth="1"/>
    <col min="19" max="19" width="11.84375" style="94" customWidth="1"/>
    <col min="20" max="21" width="11.53515625" style="94" customWidth="1"/>
    <col min="22" max="22" width="7.3828125" style="20" bestFit="1" customWidth="1"/>
    <col min="23" max="23" width="9.53515625" style="10" bestFit="1" customWidth="1"/>
    <col min="24" max="24" width="15" style="108" bestFit="1" customWidth="1"/>
    <col min="25" max="25" width="9.84375" style="9" bestFit="1" customWidth="1"/>
    <col min="26" max="26" width="6.53515625" style="9" customWidth="1"/>
    <col min="27" max="27" width="9.69140625" style="20" bestFit="1" customWidth="1"/>
    <col min="28" max="28" width="7.53515625" style="20" bestFit="1" customWidth="1"/>
    <col min="29" max="16384" width="9.15234375" style="20"/>
  </cols>
  <sheetData>
    <row r="1" spans="1:28" s="30" customFormat="1">
      <c r="A1" s="197" t="s">
        <v>0</v>
      </c>
      <c r="B1" s="197"/>
      <c r="C1" s="197"/>
      <c r="D1" s="197"/>
      <c r="E1" s="197"/>
      <c r="F1" s="197"/>
      <c r="G1" s="197"/>
      <c r="H1" s="197"/>
      <c r="I1" s="197"/>
      <c r="J1" s="197"/>
      <c r="K1" s="197"/>
      <c r="L1" s="197"/>
      <c r="M1" s="197"/>
      <c r="N1" s="197"/>
      <c r="O1" s="197"/>
      <c r="P1" s="197"/>
      <c r="Q1" s="197"/>
      <c r="R1" s="197"/>
      <c r="S1" s="197"/>
      <c r="T1" s="197"/>
      <c r="U1" s="197"/>
      <c r="V1" s="195"/>
      <c r="W1" s="38"/>
      <c r="X1" s="106"/>
      <c r="Y1" s="40"/>
      <c r="Z1" s="40"/>
    </row>
    <row r="2" spans="1:28" s="30" customFormat="1">
      <c r="A2" s="198" t="s">
        <v>114</v>
      </c>
      <c r="B2" s="198"/>
      <c r="C2" s="198"/>
      <c r="D2" s="198"/>
      <c r="E2" s="198"/>
      <c r="F2" s="198"/>
      <c r="G2" s="199"/>
      <c r="H2" s="199"/>
      <c r="I2" s="199"/>
      <c r="J2" s="199"/>
      <c r="K2" s="199"/>
      <c r="L2" s="199"/>
      <c r="M2" s="199"/>
      <c r="N2" s="199"/>
      <c r="O2" s="199"/>
      <c r="P2" s="199"/>
      <c r="Q2" s="199"/>
      <c r="R2" s="199"/>
      <c r="S2" s="199"/>
      <c r="T2" s="199"/>
      <c r="U2" s="199"/>
      <c r="V2" s="199"/>
      <c r="W2" s="38"/>
      <c r="X2" s="106"/>
      <c r="Y2" s="40"/>
      <c r="Z2" s="40"/>
    </row>
    <row r="3" spans="1:28" s="30" customFormat="1">
      <c r="A3" s="197" t="s">
        <v>84</v>
      </c>
      <c r="B3" s="197"/>
      <c r="C3" s="197"/>
      <c r="D3" s="197"/>
      <c r="E3" s="197"/>
      <c r="F3" s="197"/>
      <c r="G3" s="199"/>
      <c r="H3" s="199"/>
      <c r="I3" s="199"/>
      <c r="J3" s="199"/>
      <c r="K3" s="199"/>
      <c r="L3" s="199"/>
      <c r="M3" s="199"/>
      <c r="N3" s="199"/>
      <c r="O3" s="199"/>
      <c r="P3" s="199"/>
      <c r="Q3" s="199"/>
      <c r="R3" s="199"/>
      <c r="S3" s="199"/>
      <c r="T3" s="199"/>
      <c r="U3" s="199"/>
      <c r="V3" s="199"/>
      <c r="W3" s="38"/>
      <c r="X3" s="106"/>
      <c r="Y3" s="40"/>
      <c r="Z3" s="40"/>
    </row>
    <row r="4" spans="1:28" s="30" customFormat="1">
      <c r="A4" s="145" t="s">
        <v>276</v>
      </c>
      <c r="B4" s="96"/>
      <c r="C4" s="31"/>
      <c r="D4" s="53"/>
      <c r="E4" s="86"/>
      <c r="F4" s="195" t="s">
        <v>253</v>
      </c>
      <c r="G4" s="195"/>
      <c r="H4" s="195"/>
      <c r="I4" s="33"/>
      <c r="J4" s="202" t="s">
        <v>113</v>
      </c>
      <c r="K4" s="202"/>
      <c r="L4" s="202"/>
      <c r="M4" s="202"/>
      <c r="N4" s="202"/>
      <c r="O4" s="202"/>
      <c r="P4" s="87"/>
      <c r="Q4" s="196" t="s">
        <v>113</v>
      </c>
      <c r="R4" s="196"/>
      <c r="S4" s="196"/>
      <c r="T4" s="196"/>
      <c r="U4" s="196"/>
      <c r="V4" s="196"/>
      <c r="W4" s="38"/>
      <c r="X4" s="106"/>
      <c r="Y4" s="40"/>
      <c r="Z4" s="40"/>
    </row>
    <row r="5" spans="1:28" s="30" customFormat="1">
      <c r="A5" s="197" t="s">
        <v>168</v>
      </c>
      <c r="B5" s="197"/>
      <c r="C5" s="197"/>
      <c r="D5" s="53"/>
      <c r="E5" s="89"/>
      <c r="F5" s="199" t="s">
        <v>1</v>
      </c>
      <c r="G5" s="199"/>
      <c r="H5" s="199"/>
      <c r="I5" s="33"/>
      <c r="J5" s="212" t="s">
        <v>2</v>
      </c>
      <c r="K5" s="212"/>
      <c r="L5" s="212"/>
      <c r="M5" s="212"/>
      <c r="N5" s="212"/>
      <c r="O5" s="212"/>
      <c r="P5" s="87"/>
      <c r="Q5" s="199" t="s">
        <v>3</v>
      </c>
      <c r="R5" s="199"/>
      <c r="S5" s="199"/>
      <c r="T5" s="199"/>
      <c r="U5" s="199"/>
      <c r="V5" s="199"/>
      <c r="W5" s="38"/>
      <c r="X5" s="107"/>
      <c r="Y5" s="40"/>
      <c r="Z5" s="40"/>
      <c r="AA5" s="105">
        <v>44561</v>
      </c>
    </row>
    <row r="6" spans="1:28" s="33" customFormat="1" ht="21.45">
      <c r="A6" s="215" t="s">
        <v>4</v>
      </c>
      <c r="B6" s="215" t="s">
        <v>5</v>
      </c>
      <c r="C6" s="190" t="s">
        <v>6</v>
      </c>
      <c r="D6" s="190"/>
      <c r="E6" s="190"/>
      <c r="F6" s="190"/>
      <c r="G6" s="190" t="s">
        <v>7</v>
      </c>
      <c r="H6" s="190"/>
      <c r="I6" s="190" t="s">
        <v>8</v>
      </c>
      <c r="J6" s="190"/>
      <c r="K6" s="190"/>
      <c r="L6" s="190"/>
      <c r="M6" s="190"/>
      <c r="N6" s="190" t="s">
        <v>9</v>
      </c>
      <c r="O6" s="190"/>
      <c r="P6" s="100" t="s">
        <v>10</v>
      </c>
      <c r="Q6" s="193" t="s">
        <v>11</v>
      </c>
      <c r="R6" s="193"/>
      <c r="S6" s="193"/>
      <c r="T6" s="193"/>
      <c r="U6" s="193"/>
      <c r="V6" s="213" t="s">
        <v>12</v>
      </c>
      <c r="W6" s="38"/>
      <c r="X6" s="106"/>
      <c r="Y6" s="40"/>
      <c r="Z6" s="40"/>
    </row>
    <row r="7" spans="1:28" s="33" customFormat="1" ht="53.6">
      <c r="A7" s="216"/>
      <c r="B7" s="216"/>
      <c r="C7" s="99" t="s">
        <v>13</v>
      </c>
      <c r="D7" s="99" t="s">
        <v>14</v>
      </c>
      <c r="E7" s="90" t="s">
        <v>15</v>
      </c>
      <c r="F7" s="90" t="s">
        <v>16</v>
      </c>
      <c r="G7" s="99" t="s">
        <v>17</v>
      </c>
      <c r="H7" s="99" t="s">
        <v>18</v>
      </c>
      <c r="I7" s="99" t="s">
        <v>13</v>
      </c>
      <c r="J7" s="44" t="s">
        <v>19</v>
      </c>
      <c r="K7" s="99" t="s">
        <v>20</v>
      </c>
      <c r="L7" s="97" t="s">
        <v>21</v>
      </c>
      <c r="M7" s="44" t="s">
        <v>22</v>
      </c>
      <c r="N7" s="99" t="s">
        <v>23</v>
      </c>
      <c r="O7" s="97" t="s">
        <v>24</v>
      </c>
      <c r="P7" s="97" t="s">
        <v>10</v>
      </c>
      <c r="Q7" s="99" t="s">
        <v>25</v>
      </c>
      <c r="R7" s="97" t="s">
        <v>26</v>
      </c>
      <c r="S7" s="97" t="s">
        <v>27</v>
      </c>
      <c r="T7" s="97" t="s">
        <v>28</v>
      </c>
      <c r="U7" s="97" t="s">
        <v>29</v>
      </c>
      <c r="V7" s="214"/>
      <c r="W7" s="41"/>
      <c r="X7" s="106"/>
      <c r="Y7" s="39"/>
      <c r="Z7" s="39"/>
      <c r="AB7" s="67"/>
    </row>
    <row r="8" spans="1:28">
      <c r="A8" s="19" t="e">
        <f>'3o TRIMESTRE'!A8</f>
        <v>#REF!</v>
      </c>
      <c r="B8" s="19" t="e">
        <f>'3o TRIMESTRE'!B8</f>
        <v>#REF!</v>
      </c>
      <c r="C8" s="19">
        <v>0</v>
      </c>
      <c r="D8" s="19" t="e">
        <f>'3o TRIMESTRE'!D8</f>
        <v>#REF!</v>
      </c>
      <c r="E8" s="93" t="e">
        <f>'3o TRIMESTRE'!E8</f>
        <v>#REF!</v>
      </c>
      <c r="F8" s="93" t="e">
        <f>'3o TRIMESTRE'!F8</f>
        <v>#REF!</v>
      </c>
      <c r="G8" s="19" t="e">
        <f>'3o TRIMESTRE'!G8</f>
        <v>#REF!</v>
      </c>
      <c r="H8" s="19" t="e">
        <f>'3o TRIMESTRE'!H8</f>
        <v>#REF!</v>
      </c>
      <c r="I8" s="17" t="e">
        <f>'3o TRIMESTRE'!I8</f>
        <v>#REF!</v>
      </c>
      <c r="J8" s="35" t="e">
        <f>'3o TRIMESTRE'!J8</f>
        <v>#REF!</v>
      </c>
      <c r="K8" s="17" t="e">
        <f>'3o TRIMESTRE'!K8</f>
        <v>#REF!</v>
      </c>
      <c r="L8" s="93" t="e">
        <f>'3o TRIMESTRE'!L8</f>
        <v>#REF!</v>
      </c>
      <c r="M8" s="35" t="e">
        <f>J8+K8+N8</f>
        <v>#REF!</v>
      </c>
      <c r="N8" s="17" t="e">
        <f>'3o TRIMESTRE'!N8</f>
        <v>#REF!</v>
      </c>
      <c r="O8" s="93" t="e">
        <f>'3o TRIMESTRE'!O8</f>
        <v>#REF!</v>
      </c>
      <c r="P8" s="93" t="e">
        <f>'3o TRIMESTRE'!P8</f>
        <v>#REF!</v>
      </c>
      <c r="Q8" s="17" t="e">
        <f>'3o TRIMESTRE'!Q8</f>
        <v>#REF!</v>
      </c>
      <c r="R8" s="93" t="e">
        <f>'3o TRIMESTRE'!R8+449673.28</f>
        <v>#REF!</v>
      </c>
      <c r="S8" s="93">
        <v>449673.27999999997</v>
      </c>
      <c r="T8" s="93" t="e">
        <f>'3o TRIMESTRE'!T8+S8</f>
        <v>#REF!</v>
      </c>
      <c r="U8" s="93" t="e">
        <f>'3o TRIMESTRE'!U8+S8</f>
        <v>#REF!</v>
      </c>
      <c r="V8" s="19" t="e">
        <f>'3o TRIMESTRE'!V8</f>
        <v>#REF!</v>
      </c>
      <c r="W8" s="10" t="e">
        <f>U8-R8</f>
        <v>#REF!</v>
      </c>
      <c r="Y8" s="37"/>
      <c r="Z8" s="37"/>
      <c r="AA8" s="42" t="e">
        <f>IF(M8&gt;$AA$5,"verdadeiro","Falso")</f>
        <v>#REF!</v>
      </c>
    </row>
    <row r="9" spans="1:28" ht="32.15">
      <c r="A9" s="19" t="str">
        <f>'3o TRIMESTRE'!A9</f>
        <v>TOMADA DE PREÇOS /nº 07/2016</v>
      </c>
      <c r="B9" s="19" t="str">
        <f>'3o TRIMESTRE'!B9</f>
        <v>SEVIÇOS CONTÍNUOS DE MANUTENÇÃO CORRETIVA E PREVENTIVA E EXPANSÃO DA ILUMINAÇÃO ESPECIAL NA CIDADE DO RECIFE</v>
      </c>
      <c r="C9" s="19">
        <v>0</v>
      </c>
      <c r="D9" s="19">
        <f>'3o TRIMESTRE'!D9</f>
        <v>0</v>
      </c>
      <c r="E9" s="93">
        <f>'3o TRIMESTRE'!E9</f>
        <v>0</v>
      </c>
      <c r="F9" s="93">
        <f>'3o TRIMESTRE'!F9</f>
        <v>0</v>
      </c>
      <c r="G9" s="19" t="str">
        <f>'3o TRIMESTRE'!G9</f>
        <v>41.116.138/0001-38</v>
      </c>
      <c r="H9" s="19" t="str">
        <f>'3o TRIMESTRE'!H9</f>
        <v xml:space="preserve">REAL ENERGY LTDA                                            </v>
      </c>
      <c r="I9" s="17" t="str">
        <f>'3o TRIMESTRE'!I9</f>
        <v>6-002/17</v>
      </c>
      <c r="J9" s="35">
        <f>'3o TRIMESTRE'!J9</f>
        <v>42795</v>
      </c>
      <c r="K9" s="17">
        <f>'3o TRIMESTRE'!K9</f>
        <v>365</v>
      </c>
      <c r="L9" s="93">
        <f>'3o TRIMESTRE'!L9</f>
        <v>1223866.8</v>
      </c>
      <c r="M9" s="35">
        <f t="shared" ref="M9:M72" si="0">J9+K9+N9</f>
        <v>44620</v>
      </c>
      <c r="N9" s="17">
        <f>'3o TRIMESTRE'!N9</f>
        <v>1460</v>
      </c>
      <c r="O9" s="93">
        <f>'3o TRIMESTRE'!O9</f>
        <v>4923839.5200000005</v>
      </c>
      <c r="P9" s="93">
        <f>'3o TRIMESTRE'!P9</f>
        <v>81998.64</v>
      </c>
      <c r="Q9" s="17" t="str">
        <f>'3o TRIMESTRE'!Q9</f>
        <v>3.3.90.39</v>
      </c>
      <c r="R9" s="93">
        <f>'3o TRIMESTRE'!R9</f>
        <v>6138666.4100000001</v>
      </c>
      <c r="S9" s="93">
        <v>0</v>
      </c>
      <c r="T9" s="93">
        <f>'3o TRIMESTRE'!T9+S9</f>
        <v>219564.08</v>
      </c>
      <c r="U9" s="93" t="e">
        <f>'3o TRIMESTRE'!U9+S9</f>
        <v>#REF!</v>
      </c>
      <c r="V9" s="19" t="str">
        <f>'3o TRIMESTRE'!V9</f>
        <v>andamento</v>
      </c>
      <c r="W9" s="10" t="e">
        <f t="shared" ref="W9:W72" si="1">U9-R9</f>
        <v>#REF!</v>
      </c>
      <c r="Y9" s="37"/>
      <c r="Z9" s="37"/>
      <c r="AA9" s="42" t="str">
        <f t="shared" ref="AA9:AA72" si="2">IF(M9&gt;$AA$5,"verdadeiro","Falso")</f>
        <v>verdadeiro</v>
      </c>
    </row>
    <row r="10" spans="1:28" ht="32.15">
      <c r="A10" s="19" t="str">
        <f>'3o TRIMESTRE'!A10</f>
        <v>CONCORRÊNCIA / nº 12/2020</v>
      </c>
      <c r="B10" s="19" t="str">
        <f>'3o TRIMESTRE'!B10</f>
        <v>CONTRATACAO DOS SERVICOS DE LIMPEZA E MANUTENCAO DO SISTEMA DE MICRODRENAGEM DE AGUAS PLUVIAIS DO MUNICIPIO DO RECIFE RPA 02 E 03</v>
      </c>
      <c r="C10" s="19">
        <v>0</v>
      </c>
      <c r="D10" s="19">
        <f>'3o TRIMESTRE'!D10</f>
        <v>0</v>
      </c>
      <c r="E10" s="93">
        <f>'3o TRIMESTRE'!E10</f>
        <v>0</v>
      </c>
      <c r="F10" s="93">
        <f>'3o TRIMESTRE'!F10</f>
        <v>0</v>
      </c>
      <c r="G10" s="19" t="str">
        <f>'3o TRIMESTRE'!G10</f>
        <v>07.693.988/0001-60</v>
      </c>
      <c r="H10" s="19" t="str">
        <f>'3o TRIMESTRE'!H10</f>
        <v>F R F  ENGENHARIA LTDA</v>
      </c>
      <c r="I10" s="17" t="str">
        <f>'3o TRIMESTRE'!I10</f>
        <v>6-002/21</v>
      </c>
      <c r="J10" s="35">
        <f>'3o TRIMESTRE'!J10</f>
        <v>44204</v>
      </c>
      <c r="K10" s="17">
        <f>'3o TRIMESTRE'!K10</f>
        <v>1125</v>
      </c>
      <c r="L10" s="93">
        <f>'3o TRIMESTRE'!L10</f>
        <v>17543900.190000001</v>
      </c>
      <c r="M10" s="35">
        <f t="shared" si="0"/>
        <v>45329</v>
      </c>
      <c r="N10" s="17">
        <f>'3o TRIMESTRE'!N10</f>
        <v>0</v>
      </c>
      <c r="O10" s="93">
        <f>'3o TRIMESTRE'!O10</f>
        <v>713682.3</v>
      </c>
      <c r="P10" s="93">
        <f>'3o TRIMESTRE'!P10</f>
        <v>0</v>
      </c>
      <c r="Q10" s="17" t="str">
        <f>'3o TRIMESTRE'!Q10</f>
        <v>3.3.90.39</v>
      </c>
      <c r="R10" s="93">
        <f>'3o TRIMESTRE'!R10</f>
        <v>5744809.7300000004</v>
      </c>
      <c r="S10" s="93"/>
      <c r="T10" s="93">
        <f>'3o TRIMESTRE'!T10+S10</f>
        <v>1011036.82</v>
      </c>
      <c r="U10" s="93" t="e">
        <f>'3o TRIMESTRE'!U10+S10</f>
        <v>#REF!</v>
      </c>
      <c r="V10" s="19" t="str">
        <f>'3o TRIMESTRE'!V10</f>
        <v>encerrado</v>
      </c>
      <c r="W10" s="10" t="e">
        <f t="shared" si="1"/>
        <v>#REF!</v>
      </c>
      <c r="Y10" s="37"/>
      <c r="Z10" s="37"/>
      <c r="AA10" s="42" t="str">
        <f t="shared" si="2"/>
        <v>verdadeiro</v>
      </c>
    </row>
    <row r="11" spans="1:28" ht="32.15">
      <c r="A11" s="19" t="str">
        <f>'3o TRIMESTRE'!A11</f>
        <v>Pregão Eletrônico/ nº 017/2020</v>
      </c>
      <c r="B11" s="19" t="str">
        <f>'3o TRIMESTRE'!B11</f>
        <v>SERVIÇO DE MANUTENÇÃO E/OU INSTALAÇÃO DE BRINQUEDOS DE MADEIRA, INSTALADOS EM PARQUES E PRAÇAS DA CIDADE DO RECIFE</v>
      </c>
      <c r="C11" s="19">
        <v>0</v>
      </c>
      <c r="D11" s="19">
        <f>'3o TRIMESTRE'!D11</f>
        <v>0</v>
      </c>
      <c r="E11" s="93">
        <f>'3o TRIMESTRE'!E11</f>
        <v>0</v>
      </c>
      <c r="F11" s="93">
        <f>'3o TRIMESTRE'!F11</f>
        <v>0</v>
      </c>
      <c r="G11" s="19" t="str">
        <f>'3o TRIMESTRE'!G11</f>
        <v>06.157.352/0001-31</v>
      </c>
      <c r="H11" s="19" t="str">
        <f>'3o TRIMESTRE'!H11</f>
        <v>ROBERTO &amp; JAIR COMERCIO E SERVICOS LTDA - EPP</v>
      </c>
      <c r="I11" s="17" t="str">
        <f>'3o TRIMESTRE'!I11</f>
        <v>6-003/21</v>
      </c>
      <c r="J11" s="35">
        <f>'3o TRIMESTRE'!J11</f>
        <v>44246</v>
      </c>
      <c r="K11" s="17">
        <f>'3o TRIMESTRE'!K11</f>
        <v>365</v>
      </c>
      <c r="L11" s="93">
        <f>'3o TRIMESTRE'!L11</f>
        <v>159999.96</v>
      </c>
      <c r="M11" s="35">
        <f t="shared" si="0"/>
        <v>44701</v>
      </c>
      <c r="N11" s="17">
        <f>'3o TRIMESTRE'!N11</f>
        <v>90</v>
      </c>
      <c r="O11" s="93">
        <f>'3o TRIMESTRE'!O11</f>
        <v>39425.78</v>
      </c>
      <c r="P11" s="93">
        <f>'3o TRIMESTRE'!P11</f>
        <v>0</v>
      </c>
      <c r="Q11" s="17" t="str">
        <f>'3o TRIMESTRE'!Q11</f>
        <v>3.3.90.39</v>
      </c>
      <c r="R11" s="93">
        <f>'3o TRIMESTRE'!R11</f>
        <v>184625.54</v>
      </c>
      <c r="S11" s="93">
        <v>0</v>
      </c>
      <c r="T11" s="93">
        <f>'3o TRIMESTRE'!T11+S11</f>
        <v>33487.69</v>
      </c>
      <c r="U11" s="93" t="e">
        <f>'3o TRIMESTRE'!U11+S11</f>
        <v>#REF!</v>
      </c>
      <c r="V11" s="19" t="str">
        <f>'3o TRIMESTRE'!V11</f>
        <v>andamento</v>
      </c>
      <c r="W11" s="10" t="e">
        <f t="shared" si="1"/>
        <v>#REF!</v>
      </c>
      <c r="Y11" s="37"/>
      <c r="Z11" s="37"/>
      <c r="AA11" s="42" t="str">
        <f t="shared" si="2"/>
        <v>verdadeiro</v>
      </c>
    </row>
    <row r="12" spans="1:28" ht="53.6">
      <c r="A12" s="19" t="str">
        <f>'3o TRIMESTRE'!A12</f>
        <v>CONCORRÊNCIA / nº 14/2020</v>
      </c>
      <c r="B12" s="19" t="str">
        <f>'3o TRIMESTRE'!B12</f>
        <v>CONTRATACAO DE EMPRESA DE ENGENHARIA PARA REALIZACAO DE MANUTENCAO PREVENTIVA E CORRETIVA DO SISTEMA DE ILUMINACAO PUBLICA CONVENCIONAL DAS RPAS DO MUNICIPIO DO RECIFE. EM POSTES COM ATE 12 METROS DE ALTURA LOTE I. RPA 1 E 6</v>
      </c>
      <c r="C12" s="19">
        <v>0</v>
      </c>
      <c r="D12" s="19">
        <f>'3o TRIMESTRE'!D12</f>
        <v>0</v>
      </c>
      <c r="E12" s="93">
        <f>'3o TRIMESTRE'!E12</f>
        <v>0</v>
      </c>
      <c r="F12" s="93">
        <f>'3o TRIMESTRE'!F12</f>
        <v>0</v>
      </c>
      <c r="G12" s="19" t="str">
        <f>'3o TRIMESTRE'!G12</f>
        <v>03.834.750/0001-57</v>
      </c>
      <c r="H12" s="19" t="str">
        <f>'3o TRIMESTRE'!H12</f>
        <v>EIP SERVICOS DE ILUMINACAO LTDA</v>
      </c>
      <c r="I12" s="17" t="str">
        <f>'3o TRIMESTRE'!I12</f>
        <v>6-004/21</v>
      </c>
      <c r="J12" s="35">
        <f>'3o TRIMESTRE'!J12</f>
        <v>44270</v>
      </c>
      <c r="K12" s="17">
        <f>'3o TRIMESTRE'!K12</f>
        <v>790</v>
      </c>
      <c r="L12" s="93">
        <f>'3o TRIMESTRE'!L12</f>
        <v>1459741.65</v>
      </c>
      <c r="M12" s="35">
        <f t="shared" si="0"/>
        <v>45240</v>
      </c>
      <c r="N12" s="17">
        <f>'3o TRIMESTRE'!N12+90</f>
        <v>180</v>
      </c>
      <c r="O12" s="93">
        <f>'3o TRIMESTRE'!O12+1839933.8</f>
        <v>3491798.01</v>
      </c>
      <c r="P12" s="93">
        <f>'3o TRIMESTRE'!P12</f>
        <v>0</v>
      </c>
      <c r="Q12" s="17" t="str">
        <f>'3o TRIMESTRE'!Q12</f>
        <v>3.3.90.39</v>
      </c>
      <c r="R12" s="93">
        <f>'3o TRIMESTRE'!R12+1793935.44-(229070.31*2)</f>
        <v>3496135.85</v>
      </c>
      <c r="S12" s="93">
        <v>1839933.8</v>
      </c>
      <c r="T12" s="93">
        <f>'3o TRIMESTRE'!T12+S12</f>
        <v>2887774.9</v>
      </c>
      <c r="U12" s="93" t="e">
        <f>'3o TRIMESTRE'!U12+S12</f>
        <v>#REF!</v>
      </c>
      <c r="V12" s="19" t="str">
        <f>'3o TRIMESTRE'!V12</f>
        <v>andamento</v>
      </c>
      <c r="W12" s="10" t="e">
        <f t="shared" si="1"/>
        <v>#REF!</v>
      </c>
      <c r="X12" s="109">
        <v>413985.09</v>
      </c>
      <c r="Y12" s="37" t="e">
        <f>W12+X12</f>
        <v>#REF!</v>
      </c>
      <c r="Z12" s="37"/>
      <c r="AA12" s="42" t="str">
        <f t="shared" si="2"/>
        <v>verdadeiro</v>
      </c>
    </row>
    <row r="13" spans="1:28" ht="53.6">
      <c r="A13" s="19" t="str">
        <f>'3o TRIMESTRE'!A13</f>
        <v>CONCORRÊNCIA / nº 14/2020</v>
      </c>
      <c r="B13" s="19" t="str">
        <f>'3o TRIMESTRE'!B13</f>
        <v>CONTRATACAO DE EMPRESA DE ENGENHARIA PARA REALIZACAO DE MANUTENCAO PREVENTIVA E CORRETIVA DO SISTEMA DE ILUMINACAO PUBLICA CONVENCIONAL DAS RPAS DO MUNICIPIO DO RECIFE. EM POSTES COM ATE 12 METROS DE ALTURA LOTE II RPA 2 E 3</v>
      </c>
      <c r="C13" s="19" t="s">
        <v>41</v>
      </c>
      <c r="D13" s="19">
        <f>'3o TRIMESTRE'!D13</f>
        <v>0</v>
      </c>
      <c r="E13" s="93">
        <f>'3o TRIMESTRE'!E13</f>
        <v>0</v>
      </c>
      <c r="F13" s="93">
        <f>'3o TRIMESTRE'!F13</f>
        <v>0</v>
      </c>
      <c r="G13" s="19" t="str">
        <f>'3o TRIMESTRE'!G13</f>
        <v>03.834.750/0001-57</v>
      </c>
      <c r="H13" s="19" t="str">
        <f>'3o TRIMESTRE'!H13</f>
        <v>EIP SERVICOS DE ILUMINACAO LTDA</v>
      </c>
      <c r="I13" s="17" t="str">
        <f>'3o TRIMESTRE'!I13</f>
        <v>6-005/21</v>
      </c>
      <c r="J13" s="35">
        <f>'3o TRIMESTRE'!J13</f>
        <v>44270</v>
      </c>
      <c r="K13" s="17">
        <f>'3o TRIMESTRE'!K13</f>
        <v>790</v>
      </c>
      <c r="L13" s="93">
        <f>'3o TRIMESTRE'!L13</f>
        <v>1589764.85</v>
      </c>
      <c r="M13" s="35">
        <f t="shared" si="0"/>
        <v>45060</v>
      </c>
      <c r="N13" s="17">
        <f>'3o TRIMESTRE'!N13</f>
        <v>0</v>
      </c>
      <c r="O13" s="93">
        <f>'3o TRIMESTRE'!O13</f>
        <v>337768.38</v>
      </c>
      <c r="P13" s="93">
        <f>'3o TRIMESTRE'!P13</f>
        <v>0</v>
      </c>
      <c r="Q13" s="17" t="str">
        <f>'3o TRIMESTRE'!Q13</f>
        <v>3.3.90.39</v>
      </c>
      <c r="R13" s="93">
        <f>'3o TRIMESTRE'!R13</f>
        <v>765439.27</v>
      </c>
      <c r="S13" s="93">
        <v>0</v>
      </c>
      <c r="T13" s="93">
        <f>'3o TRIMESTRE'!T13+S13</f>
        <v>129293.64</v>
      </c>
      <c r="U13" s="93" t="e">
        <f>'3o TRIMESTRE'!U13+S13</f>
        <v>#REF!</v>
      </c>
      <c r="V13" s="19" t="str">
        <f>'3o TRIMESTRE'!V13</f>
        <v>andamento</v>
      </c>
      <c r="W13" s="10" t="e">
        <f t="shared" si="1"/>
        <v>#REF!</v>
      </c>
      <c r="Y13" s="37"/>
      <c r="Z13" s="37"/>
      <c r="AA13" s="42" t="str">
        <f t="shared" si="2"/>
        <v>verdadeiro</v>
      </c>
    </row>
    <row r="14" spans="1:28" ht="42.9">
      <c r="A14" s="19" t="str">
        <f>'3o TRIMESTRE'!A14</f>
        <v>CONCORRÊNCIA / nº 14/2020</v>
      </c>
      <c r="B14" s="19" t="str">
        <f>'3o TRIMESTRE'!B14</f>
        <v>CONTRATAÇÃO DE EMPRESA DE ENGENHARIA PARA REALIZAÇÃO DE MANUTENÇÃO PREVENTIVA E CORRETIVA DO SISTEMA DE ILUMINAÇÃO PUBLICA CONVENCIONAL DAS RPAS DO RECIFE LOTE III RPA  4 E 5</v>
      </c>
      <c r="C14" s="19" t="s">
        <v>34</v>
      </c>
      <c r="D14" s="19">
        <f>'3o TRIMESTRE'!D14</f>
        <v>0</v>
      </c>
      <c r="E14" s="93">
        <f>'3o TRIMESTRE'!E14</f>
        <v>0</v>
      </c>
      <c r="F14" s="93">
        <f>'3o TRIMESTRE'!F14</f>
        <v>0</v>
      </c>
      <c r="G14" s="19" t="str">
        <f>'3o TRIMESTRE'!G14</f>
        <v>03.834.750/0001-57</v>
      </c>
      <c r="H14" s="19" t="str">
        <f>'3o TRIMESTRE'!H14</f>
        <v>EIP SERVICOS DE ILUMINACAO LTDA</v>
      </c>
      <c r="I14" s="17" t="str">
        <f>'3o TRIMESTRE'!I14</f>
        <v>6-006/21</v>
      </c>
      <c r="J14" s="35">
        <f>'3o TRIMESTRE'!J14</f>
        <v>44270</v>
      </c>
      <c r="K14" s="17">
        <f>'3o TRIMESTRE'!K14</f>
        <v>790</v>
      </c>
      <c r="L14" s="93">
        <f>'3o TRIMESTRE'!L14</f>
        <v>1435226.94</v>
      </c>
      <c r="M14" s="35">
        <f t="shared" si="0"/>
        <v>45060</v>
      </c>
      <c r="N14" s="17">
        <f>'3o TRIMESTRE'!N14</f>
        <v>0</v>
      </c>
      <c r="O14" s="93">
        <f>'3o TRIMESTRE'!O14</f>
        <v>341654.57999999996</v>
      </c>
      <c r="P14" s="93">
        <f>'3o TRIMESTRE'!P14</f>
        <v>0</v>
      </c>
      <c r="Q14" s="17" t="str">
        <f>'3o TRIMESTRE'!Q14</f>
        <v>3.3.90.39</v>
      </c>
      <c r="R14" s="93">
        <f>'3o TRIMESTRE'!R14</f>
        <v>1120634.3599999999</v>
      </c>
      <c r="S14" s="93">
        <v>0</v>
      </c>
      <c r="T14" s="93">
        <f>'3o TRIMESTRE'!T14+S14</f>
        <v>582314.69999999995</v>
      </c>
      <c r="U14" s="93" t="e">
        <f>'3o TRIMESTRE'!U14+S14</f>
        <v>#REF!</v>
      </c>
      <c r="V14" s="19" t="s">
        <v>190</v>
      </c>
      <c r="W14" s="10" t="e">
        <f t="shared" si="1"/>
        <v>#REF!</v>
      </c>
      <c r="Y14" s="37"/>
      <c r="Z14" s="37"/>
      <c r="AA14" s="42" t="str">
        <f t="shared" si="2"/>
        <v>verdadeiro</v>
      </c>
    </row>
    <row r="15" spans="1:28" ht="42.9">
      <c r="A15" s="19" t="str">
        <f>'3o TRIMESTRE'!A15</f>
        <v>CONCORRÊNCIA / nº 17/2020</v>
      </c>
      <c r="B15" s="19" t="str">
        <f>'3o TRIMESTRE'!B15</f>
        <v>CONTRATACAO DOS SERVICOS DE MANUTENCAO E RECUPERACAO DA PAVIMENTACAO NAS VIAS EM PARALELEPIPEDOS CONSTITUINTES DO SISTEMA VIARIO DA CIDADE DO RECIFE. LOTE I - RPA 1</v>
      </c>
      <c r="C15" s="19" t="s">
        <v>89</v>
      </c>
      <c r="D15" s="19">
        <f>'3o TRIMESTRE'!D15</f>
        <v>0</v>
      </c>
      <c r="E15" s="93">
        <f>'3o TRIMESTRE'!E15</f>
        <v>0</v>
      </c>
      <c r="F15" s="93">
        <f>'3o TRIMESTRE'!F15</f>
        <v>0</v>
      </c>
      <c r="G15" s="19" t="str">
        <f>'3o TRIMESTRE'!G15</f>
        <v>10.811.370/0001-62</v>
      </c>
      <c r="H15" s="19" t="str">
        <f>'3o TRIMESTRE'!H15</f>
        <v>GUERRA CONSTRUCOES LTDA</v>
      </c>
      <c r="I15" s="17" t="str">
        <f>'3o TRIMESTRE'!I15</f>
        <v>6-007/21</v>
      </c>
      <c r="J15" s="35">
        <f>'3o TRIMESTRE'!J15</f>
        <v>44285</v>
      </c>
      <c r="K15" s="17">
        <f>'3o TRIMESTRE'!K15</f>
        <v>760</v>
      </c>
      <c r="L15" s="93">
        <f>'3o TRIMESTRE'!L15</f>
        <v>4242714.5</v>
      </c>
      <c r="M15" s="35">
        <f t="shared" si="0"/>
        <v>45045</v>
      </c>
      <c r="N15" s="17">
        <f>'3o TRIMESTRE'!N15</f>
        <v>0</v>
      </c>
      <c r="O15" s="93">
        <f>'3o TRIMESTRE'!O15</f>
        <v>0</v>
      </c>
      <c r="P15" s="93">
        <f>'3o TRIMESTRE'!P15</f>
        <v>0</v>
      </c>
      <c r="Q15" s="17" t="str">
        <f>'3o TRIMESTRE'!Q15</f>
        <v>3.3.90.39</v>
      </c>
      <c r="R15" s="93">
        <f>'3o TRIMESTRE'!R15</f>
        <v>629610.96</v>
      </c>
      <c r="S15" s="93">
        <v>0</v>
      </c>
      <c r="T15" s="93">
        <f>'3o TRIMESTRE'!T15+S15</f>
        <v>0</v>
      </c>
      <c r="U15" s="93" t="e">
        <f>'3o TRIMESTRE'!U15+S15</f>
        <v>#REF!</v>
      </c>
      <c r="V15" s="19" t="str">
        <f>'3o TRIMESTRE'!V15</f>
        <v>andamento</v>
      </c>
      <c r="W15" s="10" t="e">
        <f t="shared" si="1"/>
        <v>#REF!</v>
      </c>
      <c r="Y15" s="37"/>
      <c r="Z15" s="37"/>
      <c r="AA15" s="42" t="str">
        <f t="shared" si="2"/>
        <v>verdadeiro</v>
      </c>
    </row>
    <row r="16" spans="1:28" ht="42.9">
      <c r="A16" s="19" t="str">
        <f>'3o TRIMESTRE'!A16</f>
        <v>CONCORRÊNCIA / nº 17/2020</v>
      </c>
      <c r="B16" s="19" t="str">
        <f>'3o TRIMESTRE'!B16</f>
        <v>CONTRATACAO DOS SERVICOS DE MANUTENCAO E RECUPERACAO DA PAVIMENTACAO NAS VIAS EM PARALELEPIPEDOS CONSTITUINTES DO SISTEMA VIARIO DA CIDADE DO RECIFE. LOTES II - RPA 2 E 3</v>
      </c>
      <c r="C16" s="19">
        <v>0</v>
      </c>
      <c r="D16" s="19">
        <f>'3o TRIMESTRE'!D16</f>
        <v>0</v>
      </c>
      <c r="E16" s="93">
        <f>'3o TRIMESTRE'!E16</f>
        <v>0</v>
      </c>
      <c r="F16" s="93">
        <f>'3o TRIMESTRE'!F16</f>
        <v>0</v>
      </c>
      <c r="G16" s="19" t="str">
        <f>'3o TRIMESTRE'!G16</f>
        <v>07.086.088/0001-55</v>
      </c>
      <c r="H16" s="19" t="str">
        <f>'3o TRIMESTRE'!H16</f>
        <v>SOLO CONSTRUCOES E TERRAPLANAGEM LTDA</v>
      </c>
      <c r="I16" s="17" t="str">
        <f>'3o TRIMESTRE'!I16</f>
        <v>6-008/21</v>
      </c>
      <c r="J16" s="35">
        <f>'3o TRIMESTRE'!J16</f>
        <v>44285</v>
      </c>
      <c r="K16" s="17">
        <f>'3o TRIMESTRE'!K16</f>
        <v>760</v>
      </c>
      <c r="L16" s="93">
        <f>'3o TRIMESTRE'!L16</f>
        <v>5068725.74</v>
      </c>
      <c r="M16" s="35">
        <f t="shared" si="0"/>
        <v>45090</v>
      </c>
      <c r="N16" s="17">
        <f>'3o TRIMESTRE'!N16+45</f>
        <v>45</v>
      </c>
      <c r="O16" s="93">
        <f>'3o TRIMESTRE'!O16</f>
        <v>0</v>
      </c>
      <c r="P16" s="93">
        <f>'3o TRIMESTRE'!P16</f>
        <v>765001.36</v>
      </c>
      <c r="Q16" s="17" t="str">
        <f>'3o TRIMESTRE'!Q16</f>
        <v>3.3.90.39</v>
      </c>
      <c r="R16" s="93">
        <f>'3o TRIMESTRE'!R16+139460.49</f>
        <v>1544299.07</v>
      </c>
      <c r="S16" s="93">
        <v>139460.49</v>
      </c>
      <c r="T16" s="93">
        <f>'3o TRIMESTRE'!T16+S16</f>
        <v>1023924.55</v>
      </c>
      <c r="U16" s="93" t="e">
        <f>'3o TRIMESTRE'!U16+S16</f>
        <v>#REF!</v>
      </c>
      <c r="V16" s="19" t="s">
        <v>190</v>
      </c>
      <c r="W16" s="10" t="e">
        <f t="shared" si="1"/>
        <v>#REF!</v>
      </c>
      <c r="Y16" s="37"/>
      <c r="Z16" s="37"/>
      <c r="AA16" s="42" t="str">
        <f t="shared" si="2"/>
        <v>verdadeiro</v>
      </c>
    </row>
    <row r="17" spans="1:29" ht="42.9">
      <c r="A17" s="19" t="str">
        <f>'3o TRIMESTRE'!A17</f>
        <v>concorrência /nº 17/2020</v>
      </c>
      <c r="B17" s="19" t="str">
        <f>'3o TRIMESTRE'!B17</f>
        <v>CONTRATACAO DOS SERVICOS DE MANUTENCAO E RECUPERACAO DA PAVIMENTACAO NAS VIAS EM PARALELEPIPEDOS CONSTITUINTES DO SISTEMA VIARIO DA CIDADE DO RECIFE. LOTES III - RPA 4 E 5</v>
      </c>
      <c r="C17" s="19">
        <v>0</v>
      </c>
      <c r="D17" s="19">
        <f>'3o TRIMESTRE'!D17</f>
        <v>0</v>
      </c>
      <c r="E17" s="93">
        <f>'3o TRIMESTRE'!E17</f>
        <v>0</v>
      </c>
      <c r="F17" s="93">
        <f>'3o TRIMESTRE'!F17</f>
        <v>0</v>
      </c>
      <c r="G17" s="19" t="str">
        <f>'3o TRIMESTRE'!G17</f>
        <v>05.625.079/0001-60</v>
      </c>
      <c r="H17" s="19" t="str">
        <f>'3o TRIMESTRE'!H17</f>
        <v xml:space="preserve">CONSTRUTORA MARDIFI LTDA - EPP </v>
      </c>
      <c r="I17" s="17" t="str">
        <f>'3o TRIMESTRE'!I17</f>
        <v>6-009/21</v>
      </c>
      <c r="J17" s="35">
        <f>'3o TRIMESTRE'!J17</f>
        <v>44285</v>
      </c>
      <c r="K17" s="17">
        <f>'3o TRIMESTRE'!K17</f>
        <v>760</v>
      </c>
      <c r="L17" s="93">
        <f>'3o TRIMESTRE'!L17</f>
        <v>7317745.6200000001</v>
      </c>
      <c r="M17" s="35">
        <f t="shared" si="0"/>
        <v>45410</v>
      </c>
      <c r="N17" s="17">
        <f>'3o TRIMESTRE'!N17</f>
        <v>365</v>
      </c>
      <c r="O17" s="93">
        <f>'3o TRIMESTRE'!O17</f>
        <v>17518965.949999999</v>
      </c>
      <c r="P17" s="93">
        <f>'3o TRIMESTRE'!P17</f>
        <v>1257436.68</v>
      </c>
      <c r="Q17" s="17" t="str">
        <f>'3o TRIMESTRE'!Q17</f>
        <v>3.3.90.39</v>
      </c>
      <c r="R17" s="93">
        <f>'3o TRIMESTRE'!R17+5041476.38</f>
        <v>8651853.5199999996</v>
      </c>
      <c r="S17" s="93">
        <v>5041476.38</v>
      </c>
      <c r="T17" s="93">
        <f>'3o TRIMESTRE'!T17+S17</f>
        <v>7750584.4199999999</v>
      </c>
      <c r="U17" s="93" t="e">
        <f>'3o TRIMESTRE'!U17+S17</f>
        <v>#REF!</v>
      </c>
      <c r="V17" s="19" t="str">
        <f>'3o TRIMESTRE'!V17</f>
        <v>andamento</v>
      </c>
      <c r="W17" s="10" t="e">
        <f t="shared" si="1"/>
        <v>#REF!</v>
      </c>
      <c r="Y17" s="37"/>
      <c r="Z17" s="37"/>
      <c r="AA17" s="42" t="str">
        <f t="shared" si="2"/>
        <v>verdadeiro</v>
      </c>
    </row>
    <row r="18" spans="1:29" ht="42.9">
      <c r="A18" s="19" t="str">
        <f>'3o TRIMESTRE'!A18</f>
        <v>concorrência /nº 17/2020</v>
      </c>
      <c r="B18" s="19" t="str">
        <f>'3o TRIMESTRE'!B18</f>
        <v>CONTRATACAO DOS SERVICOS DE MANUTENCAO E RECUPERACAO DA PAVIMENTACAO NAS VIAS EM PARALELEPIPEDOS CONSTITUINTES DO SISTEMA VIARIO DA CIDADE DO RECIFE. LOTES IV. - RPA 06</v>
      </c>
      <c r="C18" s="19" t="s">
        <v>154</v>
      </c>
      <c r="D18" s="19">
        <f>'3o TRIMESTRE'!D18</f>
        <v>0</v>
      </c>
      <c r="E18" s="93">
        <f>'3o TRIMESTRE'!E18+15823300.23</f>
        <v>15823300.23</v>
      </c>
      <c r="F18" s="93">
        <f>'3o TRIMESTRE'!F18</f>
        <v>0</v>
      </c>
      <c r="G18" s="19" t="str">
        <f>'3o TRIMESTRE'!G18</f>
        <v>10.811.370/0001-62</v>
      </c>
      <c r="H18" s="19" t="str">
        <f>'3o TRIMESTRE'!H18</f>
        <v>GUERRA CONSTRUCOES LTDA</v>
      </c>
      <c r="I18" s="17" t="str">
        <f>'3o TRIMESTRE'!I18</f>
        <v>6-010/21</v>
      </c>
      <c r="J18" s="35">
        <f>'3o TRIMESTRE'!J18</f>
        <v>44285</v>
      </c>
      <c r="K18" s="17">
        <f>'3o TRIMESTRE'!K18</f>
        <v>760</v>
      </c>
      <c r="L18" s="93">
        <f>'3o TRIMESTRE'!L18</f>
        <v>6534905.3499999996</v>
      </c>
      <c r="M18" s="35">
        <f t="shared" si="0"/>
        <v>45045</v>
      </c>
      <c r="N18" s="17">
        <f>'3o TRIMESTRE'!N18</f>
        <v>0</v>
      </c>
      <c r="O18" s="93">
        <f>'3o TRIMESTRE'!O18</f>
        <v>0</v>
      </c>
      <c r="P18" s="93">
        <f>'3o TRIMESTRE'!P18</f>
        <v>0</v>
      </c>
      <c r="Q18" s="17" t="str">
        <f>'3o TRIMESTRE'!Q18</f>
        <v>3.3.90.39</v>
      </c>
      <c r="R18" s="93">
        <f>'3o TRIMESTRE'!R18</f>
        <v>1928911.7999999998</v>
      </c>
      <c r="S18" s="93"/>
      <c r="T18" s="93">
        <f>'3o TRIMESTRE'!T18+S18</f>
        <v>326655.13</v>
      </c>
      <c r="U18" s="93" t="e">
        <f>'3o TRIMESTRE'!U18+S18</f>
        <v>#REF!</v>
      </c>
      <c r="V18" s="19" t="s">
        <v>190</v>
      </c>
      <c r="W18" s="10" t="e">
        <f t="shared" si="1"/>
        <v>#REF!</v>
      </c>
      <c r="Y18" s="37"/>
      <c r="Z18" s="37"/>
      <c r="AA18" s="42" t="str">
        <f t="shared" si="2"/>
        <v>verdadeiro</v>
      </c>
    </row>
    <row r="19" spans="1:29" ht="32.15">
      <c r="A19" s="19" t="str">
        <f>'3o TRIMESTRE'!A19</f>
        <v>INEX 9/2021</v>
      </c>
      <c r="B19" s="19" t="str">
        <f>'3o TRIMESTRE'!B19</f>
        <v>CONTRATACAO DOS SERVICOS DE MANUTENCAO PREVENTIVA DO SISTEMA DE MACRODRENAGEM PELO PROCESSO DE BARRAGEM MOVEL EM DIVERSOS CANAIS DA CIDADE DO RECIFE</v>
      </c>
      <c r="C19" s="19">
        <v>0</v>
      </c>
      <c r="D19" s="19">
        <f>'3o TRIMESTRE'!D19</f>
        <v>0</v>
      </c>
      <c r="E19" s="93">
        <f>'3o TRIMESTRE'!E19</f>
        <v>0</v>
      </c>
      <c r="F19" s="93">
        <f>'3o TRIMESTRE'!F19</f>
        <v>0</v>
      </c>
      <c r="G19" s="19" t="str">
        <f>'3o TRIMESTRE'!G19</f>
        <v>03.366.083/0001-25</v>
      </c>
      <c r="H19" s="19" t="str">
        <f>'3o TRIMESTRE'!H19</f>
        <v>HIDROMAX CONSTRUÇOES LTDA</v>
      </c>
      <c r="I19" s="17" t="str">
        <f>'3o TRIMESTRE'!I19</f>
        <v>6-012/21</v>
      </c>
      <c r="J19" s="35">
        <f>'3o TRIMESTRE'!J19</f>
        <v>44354</v>
      </c>
      <c r="K19" s="17">
        <f>'3o TRIMESTRE'!K19</f>
        <v>760</v>
      </c>
      <c r="L19" s="93">
        <f>'3o TRIMESTRE'!L19</f>
        <v>1940544.76</v>
      </c>
      <c r="M19" s="35">
        <f t="shared" si="0"/>
        <v>45114</v>
      </c>
      <c r="N19" s="17">
        <f>'3o TRIMESTRE'!N19</f>
        <v>0</v>
      </c>
      <c r="O19" s="93">
        <f>'3o TRIMESTRE'!O19</f>
        <v>27154</v>
      </c>
      <c r="P19" s="93">
        <f>'3o TRIMESTRE'!P19</f>
        <v>0</v>
      </c>
      <c r="Q19" s="17" t="str">
        <f>'3o TRIMESTRE'!Q19</f>
        <v>3.3.90.39</v>
      </c>
      <c r="R19" s="93">
        <f>'3o TRIMESTRE'!R19+171561.74</f>
        <v>773754.88</v>
      </c>
      <c r="S19" s="93">
        <v>171561.74</v>
      </c>
      <c r="T19" s="93">
        <f>'3o TRIMESTRE'!T19+S19</f>
        <v>438913.37</v>
      </c>
      <c r="U19" s="93" t="e">
        <f>'3o TRIMESTRE'!U19+S19</f>
        <v>#REF!</v>
      </c>
      <c r="V19" s="19" t="str">
        <f>'3o TRIMESTRE'!V19</f>
        <v>andamento</v>
      </c>
      <c r="W19" s="10" t="e">
        <f t="shared" si="1"/>
        <v>#REF!</v>
      </c>
      <c r="X19" s="110"/>
      <c r="Y19" s="45"/>
      <c r="Z19" s="45"/>
      <c r="AA19" s="42" t="str">
        <f t="shared" si="2"/>
        <v>verdadeiro</v>
      </c>
    </row>
    <row r="20" spans="1:29" ht="32.15">
      <c r="A20" s="19" t="str">
        <f>'3o TRIMESTRE'!A20</f>
        <v> PREGÃO PRESENCIAL Licitação: 4/2017</v>
      </c>
      <c r="B20" s="19" t="str">
        <f>'3o TRIMESTRE'!B20</f>
        <v>SERVIÇOS ESPECIALIZADOS DE ENGENHARIA AGRONÔMICA COM SERVIÇOS DE MANUTENÇÃO DE ARBORETO, PARQUES, PRAÇAS E DEMAIS ÁREAS VERDES</v>
      </c>
      <c r="C20" s="19" t="s">
        <v>154</v>
      </c>
      <c r="D20" s="19">
        <f>'3o TRIMESTRE'!D20</f>
        <v>0</v>
      </c>
      <c r="E20" s="93">
        <f>'3o TRIMESTRE'!E20+15823300.23</f>
        <v>15823300.23</v>
      </c>
      <c r="F20" s="93">
        <f>'3o TRIMESTRE'!F20</f>
        <v>0</v>
      </c>
      <c r="G20" s="19" t="str">
        <f>'3o TRIMESTRE'!G20</f>
        <v>00.449.936/0001-02</v>
      </c>
      <c r="H20" s="19" t="str">
        <f>'3o TRIMESTRE'!H20</f>
        <v>ENGEMAIA E CIA LTDA</v>
      </c>
      <c r="I20" s="17" t="str">
        <f>'3o TRIMESTRE'!I20</f>
        <v>6-013/17</v>
      </c>
      <c r="J20" s="35">
        <f>'3o TRIMESTRE'!J20</f>
        <v>42940</v>
      </c>
      <c r="K20" s="17">
        <f>'3o TRIMESTRE'!K20</f>
        <v>365</v>
      </c>
      <c r="L20" s="93">
        <f>'3o TRIMESTRE'!L20</f>
        <v>11944999.92</v>
      </c>
      <c r="M20" s="35">
        <f t="shared" si="0"/>
        <v>44765</v>
      </c>
      <c r="N20" s="17">
        <f>'3o TRIMESTRE'!N20</f>
        <v>1460</v>
      </c>
      <c r="O20" s="93">
        <f>'3o TRIMESTRE'!O20</f>
        <v>60684020.43</v>
      </c>
      <c r="P20" s="93">
        <f>'3o TRIMESTRE'!P20</f>
        <v>1492079.88</v>
      </c>
      <c r="Q20" s="17" t="str">
        <f>'3o TRIMESTRE'!Q20</f>
        <v>3.3.90.39</v>
      </c>
      <c r="R20" s="93">
        <f>'3o TRIMESTRE'!R20</f>
        <v>43354359.949999996</v>
      </c>
      <c r="S20" s="93">
        <v>0</v>
      </c>
      <c r="T20" s="93">
        <f>'3o TRIMESTRE'!T20+S20</f>
        <v>2498941.87</v>
      </c>
      <c r="U20" s="93" t="e">
        <f>'3o TRIMESTRE'!U20+S20</f>
        <v>#REF!</v>
      </c>
      <c r="V20" s="19" t="s">
        <v>190</v>
      </c>
      <c r="W20" s="10" t="e">
        <f t="shared" si="1"/>
        <v>#REF!</v>
      </c>
      <c r="Y20" s="37"/>
      <c r="Z20" s="37"/>
      <c r="AA20" s="42" t="str">
        <f t="shared" si="2"/>
        <v>verdadeiro</v>
      </c>
    </row>
    <row r="21" spans="1:29" ht="21.45">
      <c r="A21" s="19" t="str">
        <f>'3o TRIMESTRE'!A21</f>
        <v>TOMADA DE PREÇOS Licitação: 1/2020</v>
      </c>
      <c r="B21" s="19" t="str">
        <f>'3o TRIMESTRE'!B21</f>
        <v>PRESTAÇÃO DE SERVIÇO DE MANUTENÇÃO E RECUPERAÇÃO AMBIENTAL DO ATERRO CONTROLADO DA MURIBECA</v>
      </c>
      <c r="C21" s="19">
        <v>0</v>
      </c>
      <c r="D21" s="19">
        <f>'3o TRIMESTRE'!D21</f>
        <v>0</v>
      </c>
      <c r="E21" s="93">
        <f>'3o TRIMESTRE'!E21</f>
        <v>0</v>
      </c>
      <c r="F21" s="93">
        <f>'3o TRIMESTRE'!F21</f>
        <v>0</v>
      </c>
      <c r="G21" s="19" t="str">
        <f>'3o TRIMESTRE'!G21</f>
        <v>07.693.988/0001-60</v>
      </c>
      <c r="H21" s="19" t="str">
        <f>'3o TRIMESTRE'!H21</f>
        <v>F R F ENGENHARIA LTDA</v>
      </c>
      <c r="I21" s="17" t="str">
        <f>'3o TRIMESTRE'!I21</f>
        <v>6-013/20</v>
      </c>
      <c r="J21" s="35">
        <f>'3o TRIMESTRE'!J21</f>
        <v>44007</v>
      </c>
      <c r="K21" s="17">
        <f>'3o TRIMESTRE'!K21</f>
        <v>760</v>
      </c>
      <c r="L21" s="93">
        <f>'3o TRIMESTRE'!L21</f>
        <v>1152030.3799999999</v>
      </c>
      <c r="M21" s="35">
        <f t="shared" si="0"/>
        <v>44767</v>
      </c>
      <c r="N21" s="17">
        <f>'3o TRIMESTRE'!N21</f>
        <v>0</v>
      </c>
      <c r="O21" s="93">
        <f>'3o TRIMESTRE'!O21</f>
        <v>0</v>
      </c>
      <c r="P21" s="93">
        <f>'3o TRIMESTRE'!P21</f>
        <v>0</v>
      </c>
      <c r="Q21" s="17" t="str">
        <f>'3o TRIMESTRE'!Q21</f>
        <v>3.3.90.39</v>
      </c>
      <c r="R21" s="93">
        <f>'3o TRIMESTRE'!R21</f>
        <v>759661.24</v>
      </c>
      <c r="S21" s="93"/>
      <c r="T21" s="93">
        <f>'3o TRIMESTRE'!T21+S21</f>
        <v>90735.72</v>
      </c>
      <c r="U21" s="93" t="e">
        <f>'3o TRIMESTRE'!U21+S21</f>
        <v>#REF!</v>
      </c>
      <c r="V21" s="19" t="str">
        <f>'3o TRIMESTRE'!V21</f>
        <v>andamento</v>
      </c>
      <c r="W21" s="10" t="e">
        <f t="shared" si="1"/>
        <v>#REF!</v>
      </c>
      <c r="Y21" s="37"/>
      <c r="Z21" s="37"/>
      <c r="AA21" s="42" t="str">
        <f t="shared" si="2"/>
        <v>verdadeiro</v>
      </c>
    </row>
    <row r="22" spans="1:29" ht="42.9">
      <c r="A22" s="19" t="str">
        <f>'3o TRIMESTRE'!A22</f>
        <v>concorrência /nº 001/2021</v>
      </c>
      <c r="B22" s="19" t="str">
        <f>'3o TRIMESTRE'!B22</f>
        <v>CONTRATACAO DE EMPRESA DE ENGENHARIA ESPECIALIZADA. PARA A OPERACAO. AUTOMACAO E MANUTENCAO ELETRICA E MECANICA DAS ESTACOES DE BOMBEAMENTO E COMPORTAS DA CIDADE DO RECIFE</v>
      </c>
      <c r="C22" s="19" t="s">
        <v>154</v>
      </c>
      <c r="D22" s="19">
        <f>'3o TRIMESTRE'!D22</f>
        <v>0</v>
      </c>
      <c r="E22" s="93">
        <f>'3o TRIMESTRE'!E22+15823300.23</f>
        <v>15823300.23</v>
      </c>
      <c r="F22" s="93">
        <f>'3o TRIMESTRE'!F22</f>
        <v>0</v>
      </c>
      <c r="G22" s="19" t="str">
        <f>'3o TRIMESTRE'!G22</f>
        <v>41.116.138/0001-38</v>
      </c>
      <c r="H22" s="19" t="str">
        <f>'3o TRIMESTRE'!H22</f>
        <v>REAL ENERGY LTDA</v>
      </c>
      <c r="I22" s="17" t="str">
        <f>'3o TRIMESTRE'!I22</f>
        <v>6-014/21</v>
      </c>
      <c r="J22" s="35">
        <f>'3o TRIMESTRE'!J22</f>
        <v>44347</v>
      </c>
      <c r="K22" s="17">
        <f>'3o TRIMESTRE'!K22</f>
        <v>790</v>
      </c>
      <c r="L22" s="93">
        <f>'3o TRIMESTRE'!L22</f>
        <v>3652773.14</v>
      </c>
      <c r="M22" s="35">
        <f t="shared" si="0"/>
        <v>45137</v>
      </c>
      <c r="N22" s="17">
        <f>'3o TRIMESTRE'!N22</f>
        <v>0</v>
      </c>
      <c r="O22" s="93">
        <f>'3o TRIMESTRE'!O22</f>
        <v>0</v>
      </c>
      <c r="P22" s="93">
        <f>'3o TRIMESTRE'!P22</f>
        <v>0</v>
      </c>
      <c r="Q22" s="17" t="str">
        <f>'3o TRIMESTRE'!Q22</f>
        <v>3.3.90.39</v>
      </c>
      <c r="R22" s="93">
        <f>'3o TRIMESTRE'!R22</f>
        <v>1031327.5900000001</v>
      </c>
      <c r="S22" s="93">
        <v>0</v>
      </c>
      <c r="T22" s="93">
        <f>'3o TRIMESTRE'!T22+S22</f>
        <v>314984</v>
      </c>
      <c r="U22" s="93" t="e">
        <f>'3o TRIMESTRE'!U22+S22</f>
        <v>#REF!</v>
      </c>
      <c r="V22" s="19" t="s">
        <v>190</v>
      </c>
      <c r="W22" s="10" t="e">
        <f t="shared" si="1"/>
        <v>#REF!</v>
      </c>
      <c r="Y22" s="37"/>
      <c r="Z22" s="37"/>
      <c r="AA22" s="42" t="str">
        <f t="shared" si="2"/>
        <v>verdadeiro</v>
      </c>
    </row>
    <row r="23" spans="1:29" ht="32.15">
      <c r="A23" s="19" t="str">
        <f>'3o TRIMESTRE'!A23</f>
        <v>CONCORRÊNCIA / nº 19/2019</v>
      </c>
      <c r="B23" s="19" t="str">
        <f>'3o TRIMESTRE'!B23</f>
        <v>SERVIÇO DE MANUTENÇÃO DO SISTEMA DE MICRODRENAGEM DE AGUAS PLUVIAIS EM TODAS AS RPAS DA CIDADE DO RECIFE - 04 E 05</v>
      </c>
      <c r="C23" s="19">
        <v>0</v>
      </c>
      <c r="D23" s="19">
        <f>'3o TRIMESTRE'!D23</f>
        <v>0</v>
      </c>
      <c r="E23" s="93">
        <f>'3o TRIMESTRE'!E23</f>
        <v>0</v>
      </c>
      <c r="F23" s="93">
        <f>'3o TRIMESTRE'!F23</f>
        <v>0</v>
      </c>
      <c r="G23" s="19" t="str">
        <f>'3o TRIMESTRE'!G23</f>
        <v>01.514.128/0001-36</v>
      </c>
      <c r="H23" s="19" t="str">
        <f>'3o TRIMESTRE'!H23</f>
        <v>SCAVE SERVICOS DE ENGENHARIA E LOCACAO LTDA</v>
      </c>
      <c r="I23" s="17" t="str">
        <f>'3o TRIMESTRE'!I23</f>
        <v>6-015/20</v>
      </c>
      <c r="J23" s="35">
        <f>'3o TRIMESTRE'!J23</f>
        <v>43997</v>
      </c>
      <c r="K23" s="17">
        <f>'3o TRIMESTRE'!K23</f>
        <v>1125</v>
      </c>
      <c r="L23" s="93">
        <f>'3o TRIMESTRE'!L23</f>
        <v>17094320.969999999</v>
      </c>
      <c r="M23" s="35">
        <f t="shared" si="0"/>
        <v>45122</v>
      </c>
      <c r="N23" s="17">
        <f>'3o TRIMESTRE'!N23</f>
        <v>0</v>
      </c>
      <c r="O23" s="93">
        <f>'3o TRIMESTRE'!O23+535420</f>
        <v>4823892.12</v>
      </c>
      <c r="P23" s="93">
        <f>'3o TRIMESTRE'!P23</f>
        <v>2353695.85</v>
      </c>
      <c r="Q23" s="17" t="str">
        <f>'3o TRIMESTRE'!Q23</f>
        <v>3.3.90.39</v>
      </c>
      <c r="R23" s="93">
        <f>'3o TRIMESTRE'!R23+3001462.58</f>
        <v>17356238.030000001</v>
      </c>
      <c r="S23" s="93">
        <v>3205805.74</v>
      </c>
      <c r="T23" s="93">
        <f>'3o TRIMESTRE'!T23+S23</f>
        <v>5658771.4199999999</v>
      </c>
      <c r="U23" s="93" t="e">
        <f>'3o TRIMESTRE'!U23+S23</f>
        <v>#REF!</v>
      </c>
      <c r="V23" s="19" t="str">
        <f>'3o TRIMESTRE'!V23</f>
        <v>andamento</v>
      </c>
      <c r="W23" s="10" t="e">
        <f t="shared" si="1"/>
        <v>#REF!</v>
      </c>
      <c r="X23" s="111"/>
      <c r="Y23" s="37"/>
      <c r="Z23" s="37"/>
      <c r="AA23" s="42" t="str">
        <f t="shared" si="2"/>
        <v>verdadeiro</v>
      </c>
    </row>
    <row r="24" spans="1:29" ht="32.15">
      <c r="A24" s="19" t="str">
        <f>'3o TRIMESTRE'!A24</f>
        <v>concorrência /nº 015/2020</v>
      </c>
      <c r="B24" s="19" t="str">
        <f>'3o TRIMESTRE'!B24</f>
        <v>SERVIÇOS DE RECUPERAÇÃO DE VIAS URBANAS PAVIMENTAS EM CONCRETO DE CIMENTO PORTLAND EM TRECHOS DE VIAS NAS RPA'S 1 A 6</v>
      </c>
      <c r="C24" s="19" t="s">
        <v>154</v>
      </c>
      <c r="D24" s="19">
        <f>'3o TRIMESTRE'!D24</f>
        <v>0</v>
      </c>
      <c r="E24" s="93">
        <f>'3o TRIMESTRE'!E24+15823300.23</f>
        <v>15823300.23</v>
      </c>
      <c r="F24" s="93">
        <f>'3o TRIMESTRE'!F24</f>
        <v>0</v>
      </c>
      <c r="G24" s="19" t="str">
        <f>'3o TRIMESTRE'!G24</f>
        <v>00.338.885/0001-33</v>
      </c>
      <c r="H24" s="19" t="str">
        <f>'3o TRIMESTRE'!H24</f>
        <v>NOVATEC CONSTRUCOES E EMPREENDIMENTOS LTDA</v>
      </c>
      <c r="I24" s="17" t="str">
        <f>'3o TRIMESTRE'!I24</f>
        <v>6-015/21</v>
      </c>
      <c r="J24" s="35">
        <f>'3o TRIMESTRE'!J24</f>
        <v>44363</v>
      </c>
      <c r="K24" s="17">
        <f>'3o TRIMESTRE'!K24</f>
        <v>790</v>
      </c>
      <c r="L24" s="93">
        <f>'3o TRIMESTRE'!L24</f>
        <v>8412130.0600000005</v>
      </c>
      <c r="M24" s="35">
        <f t="shared" si="0"/>
        <v>45153</v>
      </c>
      <c r="N24" s="17">
        <f>'3o TRIMESTRE'!N24</f>
        <v>0</v>
      </c>
      <c r="O24" s="93">
        <f>'3o TRIMESTRE'!O24</f>
        <v>0</v>
      </c>
      <c r="P24" s="93">
        <f>'3o TRIMESTRE'!P24</f>
        <v>0</v>
      </c>
      <c r="Q24" s="17" t="str">
        <f>'3o TRIMESTRE'!Q24</f>
        <v>3.3.90.39</v>
      </c>
      <c r="R24" s="93">
        <f>'3o TRIMESTRE'!R24</f>
        <v>2461731.2000000002</v>
      </c>
      <c r="S24" s="93">
        <v>0</v>
      </c>
      <c r="T24" s="93">
        <f>'3o TRIMESTRE'!T24+S24</f>
        <v>1002965.45</v>
      </c>
      <c r="U24" s="93" t="e">
        <f>'3o TRIMESTRE'!U24+S24</f>
        <v>#REF!</v>
      </c>
      <c r="V24" s="19" t="s">
        <v>190</v>
      </c>
      <c r="W24" s="10" t="e">
        <f t="shared" si="1"/>
        <v>#REF!</v>
      </c>
      <c r="Y24" s="37"/>
      <c r="Z24" s="37"/>
      <c r="AA24" s="42" t="str">
        <f t="shared" si="2"/>
        <v>verdadeiro</v>
      </c>
      <c r="AB24" s="46"/>
      <c r="AC24" s="45"/>
    </row>
    <row r="25" spans="1:29" ht="21.45">
      <c r="A25" s="19" t="str">
        <f>'3o TRIMESTRE'!A25</f>
        <v>CONCORRÊNCIA / nº 19/2019</v>
      </c>
      <c r="B25" s="19" t="str">
        <f>'3o TRIMESTRE'!B25</f>
        <v>SERVIÇO DE MANUTENÇÃO DO SISTEMA DE MICRODRENAGEM DE AGUAS PLUVIAIS EM TODAS AS RPAS DO RECIFE - RPA 06</v>
      </c>
      <c r="C25" s="19">
        <v>0</v>
      </c>
      <c r="D25" s="19">
        <f>'3o TRIMESTRE'!D25</f>
        <v>0</v>
      </c>
      <c r="E25" s="93">
        <f>'3o TRIMESTRE'!E25</f>
        <v>0</v>
      </c>
      <c r="F25" s="93">
        <f>'3o TRIMESTRE'!F25</f>
        <v>0</v>
      </c>
      <c r="G25" s="19" t="str">
        <f>'3o TRIMESTRE'!G25</f>
        <v>10.811.370/0001-62</v>
      </c>
      <c r="H25" s="19" t="str">
        <f>'3o TRIMESTRE'!H25</f>
        <v>GUERRA CONSTRUCOES LTDA</v>
      </c>
      <c r="I25" s="17" t="str">
        <f>'3o TRIMESTRE'!I25</f>
        <v>6-016/20</v>
      </c>
      <c r="J25" s="35">
        <f>'3o TRIMESTRE'!J25</f>
        <v>43997</v>
      </c>
      <c r="K25" s="17">
        <f>'3o TRIMESTRE'!K25</f>
        <v>1125</v>
      </c>
      <c r="L25" s="93">
        <f>'3o TRIMESTRE'!L25</f>
        <v>18840293.850000001</v>
      </c>
      <c r="M25" s="35">
        <f t="shared" si="0"/>
        <v>45122</v>
      </c>
      <c r="N25" s="17">
        <f>'3o TRIMESTRE'!N25</f>
        <v>0</v>
      </c>
      <c r="O25" s="93">
        <f>'3o TRIMESTRE'!O25+3429757.7</f>
        <v>6859515.4000000004</v>
      </c>
      <c r="P25" s="93">
        <f>'3o TRIMESTRE'!P25</f>
        <v>2594739.9900000002</v>
      </c>
      <c r="Q25" s="17" t="str">
        <f>'3o TRIMESTRE'!Q25</f>
        <v>3.3.90.39</v>
      </c>
      <c r="R25" s="93">
        <f>'3o TRIMESTRE'!R25+2199873.12</f>
        <v>17019962.219999999</v>
      </c>
      <c r="S25" s="93">
        <v>2431015.1</v>
      </c>
      <c r="T25" s="93">
        <f>'3o TRIMESTRE'!T25+S25</f>
        <v>5414146.9900000002</v>
      </c>
      <c r="U25" s="93" t="e">
        <f>'3o TRIMESTRE'!U25+S25</f>
        <v>#REF!</v>
      </c>
      <c r="V25" s="19" t="str">
        <f>'3o TRIMESTRE'!V25</f>
        <v>andamento</v>
      </c>
      <c r="W25" s="10" t="e">
        <f t="shared" si="1"/>
        <v>#REF!</v>
      </c>
      <c r="Y25" s="37"/>
      <c r="Z25" s="37"/>
      <c r="AA25" s="42" t="str">
        <f t="shared" si="2"/>
        <v>verdadeiro</v>
      </c>
      <c r="AC25" s="42"/>
    </row>
    <row r="26" spans="1:29" ht="32.15">
      <c r="A26" s="19" t="str">
        <f>'3o TRIMESTRE'!A26</f>
        <v>CONCORRÊNCIA Licitação: 10/2018</v>
      </c>
      <c r="B26" s="19" t="str">
        <f>'3o TRIMESTRE'!B26</f>
        <v>SERVIÇOS DE MANUTENÇÃO PREVENTIVA DO SISTEMA DE MACRODRENAGEM EM TODAS AS RPA'S DA CIDADE DO RECIFE - RPA 01 E 06</v>
      </c>
      <c r="C26" s="19" t="s">
        <v>154</v>
      </c>
      <c r="D26" s="19" t="str">
        <f>'3o TRIMESTRE'!D26</f>
        <v>FINISA</v>
      </c>
      <c r="E26" s="93">
        <f>'3o TRIMESTRE'!E26+15823300.23</f>
        <v>200723115.34999996</v>
      </c>
      <c r="F26" s="93">
        <f>'3o TRIMESTRE'!F26</f>
        <v>0</v>
      </c>
      <c r="G26" s="19" t="str">
        <f>'3o TRIMESTRE'!G26</f>
        <v>01.514.128/0001-36</v>
      </c>
      <c r="H26" s="19" t="str">
        <f>'3o TRIMESTRE'!H26</f>
        <v>SCAVE SERVICOS DE ENGENHARIA E LOCACAO LTDA</v>
      </c>
      <c r="I26" s="17" t="str">
        <f>'3o TRIMESTRE'!I26</f>
        <v>6-017/19</v>
      </c>
      <c r="J26" s="35">
        <f>'3o TRIMESTRE'!J26</f>
        <v>43571</v>
      </c>
      <c r="K26" s="17">
        <f>'3o TRIMESTRE'!K26</f>
        <v>1125</v>
      </c>
      <c r="L26" s="93">
        <f>'3o TRIMESTRE'!L26</f>
        <v>10309281.699999999</v>
      </c>
      <c r="M26" s="35">
        <f t="shared" si="0"/>
        <v>44696</v>
      </c>
      <c r="N26" s="17">
        <f>'3o TRIMESTRE'!N26</f>
        <v>0</v>
      </c>
      <c r="O26" s="93">
        <f>'3o TRIMESTRE'!O26</f>
        <v>0</v>
      </c>
      <c r="P26" s="93">
        <f>'3o TRIMESTRE'!P26</f>
        <v>2800566.42</v>
      </c>
      <c r="Q26" s="17" t="str">
        <f>'3o TRIMESTRE'!Q26</f>
        <v>4.4.90.39</v>
      </c>
      <c r="R26" s="93">
        <f>'3o TRIMESTRE'!R26</f>
        <v>5797671.96</v>
      </c>
      <c r="S26" s="93">
        <v>114020.37</v>
      </c>
      <c r="T26" s="93">
        <f>'3o TRIMESTRE'!T26+S26</f>
        <v>833817.17</v>
      </c>
      <c r="U26" s="93" t="e">
        <f>'3o TRIMESTRE'!U26+S26</f>
        <v>#REF!</v>
      </c>
      <c r="V26" s="19" t="str">
        <f>'3o TRIMESTRE'!V26</f>
        <v>andamento</v>
      </c>
      <c r="W26" s="10" t="e">
        <f t="shared" si="1"/>
        <v>#REF!</v>
      </c>
      <c r="Y26" s="37"/>
      <c r="Z26" s="37"/>
      <c r="AA26" s="42" t="str">
        <f t="shared" si="2"/>
        <v>verdadeiro</v>
      </c>
    </row>
    <row r="27" spans="1:29" ht="32.15">
      <c r="A27" s="19" t="str">
        <f>'3o TRIMESTRE'!A27</f>
        <v>CONCORRÊNCIA Licitação: 10/2018</v>
      </c>
      <c r="B27" s="19" t="str">
        <f>'3o TRIMESTRE'!B27</f>
        <v>SERVIÇOS DE MANUTENÇÃO PREVENTIVA DO SISTEMA DE MACRODRENAGEM EM TODAS AS RPA'S DA CIDADE DO RECIFE - RPA 02 e 03</v>
      </c>
      <c r="C27" s="19">
        <v>0</v>
      </c>
      <c r="D27" s="19" t="str">
        <f>'3o TRIMESTRE'!D27</f>
        <v>FINISA</v>
      </c>
      <c r="E27" s="93">
        <f>'3o TRIMESTRE'!E27</f>
        <v>184899815.11999997</v>
      </c>
      <c r="F27" s="93">
        <f>'3o TRIMESTRE'!F27</f>
        <v>0</v>
      </c>
      <c r="G27" s="19" t="str">
        <f>'3o TRIMESTRE'!G27</f>
        <v>01.514.128/0001-36</v>
      </c>
      <c r="H27" s="19" t="str">
        <f>'3o TRIMESTRE'!H27</f>
        <v>SCAVE SERVICOS DE ENGENHARIA E LOCACAO LTDA</v>
      </c>
      <c r="I27" s="17" t="str">
        <f>'3o TRIMESTRE'!I27</f>
        <v>6-018/19</v>
      </c>
      <c r="J27" s="35">
        <f>'3o TRIMESTRE'!J27</f>
        <v>43571</v>
      </c>
      <c r="K27" s="17">
        <f>'3o TRIMESTRE'!K27</f>
        <v>1125</v>
      </c>
      <c r="L27" s="93">
        <f>'3o TRIMESTRE'!L27</f>
        <v>11446659.060000001</v>
      </c>
      <c r="M27" s="35">
        <f t="shared" si="0"/>
        <v>44696</v>
      </c>
      <c r="N27" s="17">
        <f>'3o TRIMESTRE'!N27</f>
        <v>0</v>
      </c>
      <c r="O27" s="93">
        <f>'3o TRIMESTRE'!O27</f>
        <v>5430.8</v>
      </c>
      <c r="P27" s="93">
        <f>'3o TRIMESTRE'!P27</f>
        <v>1849376.19</v>
      </c>
      <c r="Q27" s="17" t="str">
        <f>'3o TRIMESTRE'!Q27</f>
        <v>4.4.90.39</v>
      </c>
      <c r="R27" s="93">
        <f>'3o TRIMESTRE'!R27</f>
        <v>5506715.7800000003</v>
      </c>
      <c r="S27" s="93"/>
      <c r="T27" s="93">
        <f>'3o TRIMESTRE'!T27+S27</f>
        <v>786038.73</v>
      </c>
      <c r="U27" s="93" t="e">
        <f>'3o TRIMESTRE'!U27+S27</f>
        <v>#REF!</v>
      </c>
      <c r="V27" s="19" t="str">
        <f>'3o TRIMESTRE'!V27</f>
        <v>andamento</v>
      </c>
      <c r="W27" s="10" t="e">
        <f t="shared" si="1"/>
        <v>#REF!</v>
      </c>
      <c r="Y27" s="37"/>
      <c r="Z27" s="37"/>
      <c r="AA27" s="42" t="str">
        <f t="shared" si="2"/>
        <v>verdadeiro</v>
      </c>
    </row>
    <row r="28" spans="1:29" ht="32.15">
      <c r="A28" s="19" t="str">
        <f>'3o TRIMESTRE'!A28</f>
        <v>DISP 3/2020</v>
      </c>
      <c r="B28" s="19" t="str">
        <f>'3o TRIMESTRE'!B28</f>
        <v>MONITORAMENTO AMBIENTAL DO ATERRO CONTROLADO DA MURIBECA E SERVIÇOS DE CONSULTORIA TECNOLÓGICA PARA TRATAMENTO DE RESÍDUOS SÓLIDOS URBANOS</v>
      </c>
      <c r="C28" s="19">
        <v>0</v>
      </c>
      <c r="D28" s="19">
        <f>'3o TRIMESTRE'!D28</f>
        <v>0</v>
      </c>
      <c r="E28" s="93">
        <f>'3o TRIMESTRE'!E28</f>
        <v>0</v>
      </c>
      <c r="F28" s="93">
        <f>'3o TRIMESTRE'!F28</f>
        <v>0</v>
      </c>
      <c r="G28" s="19" t="str">
        <f>'3o TRIMESTRE'!G28</f>
        <v>11.187.606/0001-02</v>
      </c>
      <c r="H28" s="19" t="str">
        <f>'3o TRIMESTRE'!H28</f>
        <v xml:space="preserve">ATEPE ASSOCIACAO TECNOLOGICA DE PERNAMBUCO                  </v>
      </c>
      <c r="I28" s="17" t="str">
        <f>'3o TRIMESTRE'!I28</f>
        <v>6-018/20</v>
      </c>
      <c r="J28" s="35">
        <f>'3o TRIMESTRE'!J28</f>
        <v>44007</v>
      </c>
      <c r="K28" s="17">
        <f>'3o TRIMESTRE'!K28</f>
        <v>365</v>
      </c>
      <c r="L28" s="93">
        <f>'3o TRIMESTRE'!L28</f>
        <v>251180</v>
      </c>
      <c r="M28" s="35">
        <f t="shared" si="0"/>
        <v>44737</v>
      </c>
      <c r="N28" s="17">
        <f>'3o TRIMESTRE'!N28</f>
        <v>365</v>
      </c>
      <c r="O28" s="93">
        <f>'3o TRIMESTRE'!O28</f>
        <v>251180</v>
      </c>
      <c r="P28" s="93">
        <f>'3o TRIMESTRE'!P28</f>
        <v>0</v>
      </c>
      <c r="Q28" s="17" t="str">
        <f>'3o TRIMESTRE'!Q28</f>
        <v>3.3.90.39</v>
      </c>
      <c r="R28" s="93">
        <f>'3o TRIMESTRE'!R28</f>
        <v>329871</v>
      </c>
      <c r="S28" s="93"/>
      <c r="T28" s="93">
        <f>'3o TRIMESTRE'!T28+S28</f>
        <v>132447.78999999998</v>
      </c>
      <c r="U28" s="93" t="e">
        <f>'3o TRIMESTRE'!U28+S28</f>
        <v>#REF!</v>
      </c>
      <c r="V28" s="19" t="s">
        <v>190</v>
      </c>
      <c r="W28" s="10" t="e">
        <f t="shared" si="1"/>
        <v>#REF!</v>
      </c>
      <c r="Y28" s="37"/>
      <c r="Z28" s="37"/>
      <c r="AA28" s="42" t="str">
        <f t="shared" si="2"/>
        <v>verdadeiro</v>
      </c>
    </row>
    <row r="29" spans="1:29" ht="21.45">
      <c r="A29" s="19" t="str">
        <f>'3o TRIMESTRE'!A29</f>
        <v>concorrência /nº 004/2021</v>
      </c>
      <c r="B29" s="19" t="str">
        <f>'3o TRIMESTRE'!B29</f>
        <v>RECUPERAÇÃO DE PASSEIOS COM IMPLANTAÇÃO DE ACESSIBILIDADE EM VARIAS VIAS E LOCAIS DO RECIFE</v>
      </c>
      <c r="C29" s="19" t="s">
        <v>154</v>
      </c>
      <c r="D29" s="19" t="str">
        <f>'3o TRIMESTRE'!D29</f>
        <v>FINISA</v>
      </c>
      <c r="E29" s="93">
        <f>'3o TRIMESTRE'!E29+15823300.23</f>
        <v>110332047.73</v>
      </c>
      <c r="F29" s="93">
        <f>'3o TRIMESTRE'!F29</f>
        <v>0</v>
      </c>
      <c r="G29" s="19" t="str">
        <f>'3o TRIMESTRE'!G29</f>
        <v>03.608.944/0001-34</v>
      </c>
      <c r="H29" s="19" t="str">
        <f>'3o TRIMESTRE'!H29</f>
        <v>JEPAC CONSTRUCOES LTDA</v>
      </c>
      <c r="I29" s="17" t="str">
        <f>'3o TRIMESTRE'!I29</f>
        <v>6-018/21</v>
      </c>
      <c r="J29" s="35">
        <f>'3o TRIMESTRE'!J29</f>
        <v>44361</v>
      </c>
      <c r="K29" s="17">
        <f>'3o TRIMESTRE'!K29</f>
        <v>790</v>
      </c>
      <c r="L29" s="93">
        <f>'3o TRIMESTRE'!L29</f>
        <v>6770337.1399999997</v>
      </c>
      <c r="M29" s="35">
        <f t="shared" si="0"/>
        <v>45151</v>
      </c>
      <c r="N29" s="17">
        <f>'3o TRIMESTRE'!N29</f>
        <v>0</v>
      </c>
      <c r="O29" s="93">
        <f>'3o TRIMESTRE'!O29+5430.8</f>
        <v>5430.8</v>
      </c>
      <c r="P29" s="93">
        <f>'3o TRIMESTRE'!P29</f>
        <v>0</v>
      </c>
      <c r="Q29" s="17" t="str">
        <f>'3o TRIMESTRE'!Q29</f>
        <v>3.3.90.39</v>
      </c>
      <c r="R29" s="93">
        <f>'3o TRIMESTRE'!R29+32153.41</f>
        <v>1602797.74</v>
      </c>
      <c r="S29" s="93">
        <v>32153.41</v>
      </c>
      <c r="T29" s="93">
        <f>'3o TRIMESTRE'!T29+S29</f>
        <v>404489.82</v>
      </c>
      <c r="U29" s="93" t="e">
        <f>'3o TRIMESTRE'!U29+S29</f>
        <v>#REF!</v>
      </c>
      <c r="V29" s="19" t="str">
        <f>'3o TRIMESTRE'!V29</f>
        <v>andamento</v>
      </c>
      <c r="W29" s="10" t="e">
        <f t="shared" si="1"/>
        <v>#REF!</v>
      </c>
      <c r="Y29" s="37"/>
      <c r="Z29" s="37"/>
      <c r="AA29" s="42" t="str">
        <f t="shared" si="2"/>
        <v>verdadeiro</v>
      </c>
    </row>
    <row r="30" spans="1:29" ht="32.15">
      <c r="A30" s="19" t="str">
        <f>'3o TRIMESTRE'!A30</f>
        <v>CONCORRÊNCIA Licitação: 10/2018</v>
      </c>
      <c r="B30" s="19" t="str">
        <f>'3o TRIMESTRE'!B30</f>
        <v>SERVIÇOS DE MANUTENÇÃO PREVENTIVA DO SISTEMA DE MACRODRENAGEM EM TODAS AS RPA'S DA CIDADE DO RECIFE - RPA 04, 05</v>
      </c>
      <c r="C30" s="19">
        <v>0</v>
      </c>
      <c r="D30" s="19" t="str">
        <f>'3o TRIMESTRE'!D30</f>
        <v>FINISA</v>
      </c>
      <c r="E30" s="93">
        <f>'3o TRIMESTRE'!E30</f>
        <v>184899815.11999997</v>
      </c>
      <c r="F30" s="93">
        <f>'3o TRIMESTRE'!F30</f>
        <v>0</v>
      </c>
      <c r="G30" s="19" t="str">
        <f>'3o TRIMESTRE'!G30</f>
        <v>01.514.128/0001-36</v>
      </c>
      <c r="H30" s="19" t="str">
        <f>'3o TRIMESTRE'!H30</f>
        <v>SCAVE SERVICOS DE ENGENHARIA E LOCACAO LTDA</v>
      </c>
      <c r="I30" s="17" t="str">
        <f>'3o TRIMESTRE'!I30</f>
        <v>6-019/19</v>
      </c>
      <c r="J30" s="35">
        <f>'3o TRIMESTRE'!J30</f>
        <v>43571</v>
      </c>
      <c r="K30" s="17">
        <f>'3o TRIMESTRE'!K30</f>
        <v>1125</v>
      </c>
      <c r="L30" s="93">
        <f>'3o TRIMESTRE'!L30</f>
        <v>11869839.779999999</v>
      </c>
      <c r="M30" s="35">
        <f t="shared" si="0"/>
        <v>45061</v>
      </c>
      <c r="N30" s="17">
        <f>'3o TRIMESTRE'!N30+365</f>
        <v>365</v>
      </c>
      <c r="O30" s="93">
        <f>'3o TRIMESTRE'!O30+251180</f>
        <v>561336</v>
      </c>
      <c r="P30" s="93">
        <f>'3o TRIMESTRE'!P30</f>
        <v>3232749.75</v>
      </c>
      <c r="Q30" s="17" t="str">
        <f>'3o TRIMESTRE'!Q30</f>
        <v>4.4.90.39</v>
      </c>
      <c r="R30" s="93">
        <f>'3o TRIMESTRE'!R30+111270</f>
        <v>7894122.7899999991</v>
      </c>
      <c r="S30" s="93">
        <v>111270</v>
      </c>
      <c r="T30" s="93">
        <f>'3o TRIMESTRE'!T30+S30</f>
        <v>535213.03</v>
      </c>
      <c r="U30" s="93" t="e">
        <f>'3o TRIMESTRE'!U30+S30</f>
        <v>#REF!</v>
      </c>
      <c r="V30" s="19" t="str">
        <f>'3o TRIMESTRE'!V30</f>
        <v>andamento</v>
      </c>
      <c r="W30" s="10" t="e">
        <f t="shared" si="1"/>
        <v>#REF!</v>
      </c>
      <c r="Y30" s="37"/>
      <c r="Z30" s="37"/>
      <c r="AA30" s="42" t="str">
        <f t="shared" si="2"/>
        <v>verdadeiro</v>
      </c>
    </row>
    <row r="31" spans="1:29" ht="42.9">
      <c r="A31" s="19" t="str">
        <f>'3o TRIMESTRE'!A31</f>
        <v>CONCORRÊNCIA Licitação: 2/2021</v>
      </c>
      <c r="B31" s="19" t="str">
        <f>'3o TRIMESTRE'!B31</f>
        <v>RECUPERACAO DE ESCADARIAS. MUROS E CORRIMOES LOCALIZADAS NAS DIVERSAS NAS DIVERSAS REGIAO POLITICA ADMINISTRATIVA RPAS DA CIDADE DO RECIFE. DIVIDIDAS EM EM LOTES. LOTE I RPA 2; LOTE II RPA 3 E LOTE III RPA 4.5.6</v>
      </c>
      <c r="C31" s="19" t="s">
        <v>154</v>
      </c>
      <c r="D31" s="19" t="str">
        <f>'3o TRIMESTRE'!D31</f>
        <v>FINISA</v>
      </c>
      <c r="E31" s="93">
        <f>'3o TRIMESTRE'!E31+15823300.23</f>
        <v>129169977.79000001</v>
      </c>
      <c r="F31" s="93">
        <f>'3o TRIMESTRE'!F31</f>
        <v>0</v>
      </c>
      <c r="G31" s="19" t="str">
        <f>'3o TRIMESTRE'!G31</f>
        <v>11.523.068/0001-71</v>
      </c>
      <c r="H31" s="19" t="str">
        <f>'3o TRIMESTRE'!H31</f>
        <v>CONSTRUTORA FAELLA LTDA EPP</v>
      </c>
      <c r="I31" s="17" t="str">
        <f>'3o TRIMESTRE'!I31</f>
        <v>6-021/21</v>
      </c>
      <c r="J31" s="35">
        <f>'3o TRIMESTRE'!J31</f>
        <v>44365</v>
      </c>
      <c r="K31" s="17">
        <f>'3o TRIMESTRE'!K31</f>
        <v>790</v>
      </c>
      <c r="L31" s="93">
        <f>'3o TRIMESTRE'!L31</f>
        <v>6226475.1799999997</v>
      </c>
      <c r="M31" s="35">
        <f t="shared" si="0"/>
        <v>45155</v>
      </c>
      <c r="N31" s="17">
        <f>'3o TRIMESTRE'!N31</f>
        <v>0</v>
      </c>
      <c r="O31" s="93">
        <f>'3o TRIMESTRE'!O31</f>
        <v>310156</v>
      </c>
      <c r="P31" s="93">
        <f>'3o TRIMESTRE'!P31</f>
        <v>0</v>
      </c>
      <c r="Q31" s="17" t="str">
        <f>'3o TRIMESTRE'!Q31</f>
        <v>3.3.90.39</v>
      </c>
      <c r="R31" s="93">
        <f>'3o TRIMESTRE'!R31</f>
        <v>3161238.55</v>
      </c>
      <c r="S31" s="93">
        <v>166569.65</v>
      </c>
      <c r="T31" s="93">
        <f>'3o TRIMESTRE'!T31+S31</f>
        <v>1578225.0699999998</v>
      </c>
      <c r="U31" s="93" t="e">
        <f>'3o TRIMESTRE'!U31+S31</f>
        <v>#REF!</v>
      </c>
      <c r="V31" s="19" t="str">
        <f>'3o TRIMESTRE'!V31</f>
        <v>andamento</v>
      </c>
      <c r="W31" s="10" t="e">
        <f t="shared" si="1"/>
        <v>#REF!</v>
      </c>
      <c r="Y31" s="37"/>
      <c r="Z31" s="37"/>
      <c r="AA31" s="42" t="str">
        <f t="shared" si="2"/>
        <v>verdadeiro</v>
      </c>
    </row>
    <row r="32" spans="1:29" ht="32.15">
      <c r="A32" s="19" t="str">
        <f>'3o TRIMESTRE'!A32</f>
        <v>PREGÃO  / Nº 14/2016</v>
      </c>
      <c r="B32" s="19" t="str">
        <f>'3o TRIMESTRE'!B32</f>
        <v xml:space="preserve">SERVIÇOS DE LIMPEZA URBANA – DESTINAÇÃO FINAL DOS RESÍDUOS SÓLIDOS </v>
      </c>
      <c r="C32" s="19" t="s">
        <v>191</v>
      </c>
      <c r="D32" s="19">
        <f>'3o TRIMESTRE'!D32</f>
        <v>0</v>
      </c>
      <c r="E32" s="93">
        <f>'3o TRIMESTRE'!E32</f>
        <v>0</v>
      </c>
      <c r="F32" s="93">
        <f>'3o TRIMESTRE'!F32</f>
        <v>0</v>
      </c>
      <c r="G32" s="19" t="str">
        <f>'3o TRIMESTRE'!G32</f>
        <v>08.165.091/0002-08</v>
      </c>
      <c r="H32" s="19" t="str">
        <f>'3o TRIMESTRE'!H32</f>
        <v xml:space="preserve">ECOPESA AMBIENTAL S/A                   </v>
      </c>
      <c r="I32" s="17" t="str">
        <f>'3o TRIMESTRE'!I32</f>
        <v>6-022/16</v>
      </c>
      <c r="J32" s="35">
        <f>'3o TRIMESTRE'!J32</f>
        <v>42769</v>
      </c>
      <c r="K32" s="17">
        <f>'3o TRIMESTRE'!K32</f>
        <v>365</v>
      </c>
      <c r="L32" s="93">
        <f>'3o TRIMESTRE'!L32</f>
        <v>38286283.020000003</v>
      </c>
      <c r="M32" s="35">
        <f t="shared" si="0"/>
        <v>44776</v>
      </c>
      <c r="N32" s="17">
        <f>'3o TRIMESTRE'!N32</f>
        <v>1642</v>
      </c>
      <c r="O32" s="93">
        <f>'3o TRIMESTRE'!O32</f>
        <v>190010186.01999998</v>
      </c>
      <c r="P32" s="93">
        <f>'3o TRIMESTRE'!P32</f>
        <v>8446263.3000000007</v>
      </c>
      <c r="Q32" s="17" t="str">
        <f>'3o TRIMESTRE'!Q32</f>
        <v>3.3.90.39</v>
      </c>
      <c r="R32" s="93">
        <f>'3o TRIMESTRE'!R32</f>
        <v>164064779.25999999</v>
      </c>
      <c r="S32" s="93">
        <v>0</v>
      </c>
      <c r="T32" s="93">
        <f>'3o TRIMESTRE'!T32+S32</f>
        <v>8800458.8100000005</v>
      </c>
      <c r="U32" s="93" t="e">
        <f>'3o TRIMESTRE'!U32+S32</f>
        <v>#REF!</v>
      </c>
      <c r="V32" s="19" t="str">
        <f>'3o TRIMESTRE'!V32</f>
        <v>andamento</v>
      </c>
      <c r="W32" s="10" t="e">
        <f t="shared" si="1"/>
        <v>#REF!</v>
      </c>
      <c r="Y32" s="37"/>
      <c r="Z32" s="37"/>
      <c r="AA32" s="42" t="str">
        <f t="shared" si="2"/>
        <v>verdadeiro</v>
      </c>
    </row>
    <row r="33" spans="1:29" ht="42.9">
      <c r="A33" s="19" t="str">
        <f>'3o TRIMESTRE'!A33</f>
        <v>CONCORRÊNCIA Licitação: 2/2021</v>
      </c>
      <c r="B33" s="19" t="str">
        <f>'3o TRIMESTRE'!B33</f>
        <v>RECUPERACAO DE ESCADARIAS. MUROS E CORRIMOES LOCALIZADAS NAS DIVERSAS NAS DIVERSAS REGIAO POLITICA ADMINISTRATIVA RPAS DA CIDADE DO RECIFE. DIVIDIDAS EM EM LOTES. LOTE I RPA 2; LOTE II RPA 3 E LOTE III RPA 4.5.6</v>
      </c>
      <c r="C33" s="19" t="s">
        <v>122</v>
      </c>
      <c r="D33" s="19" t="str">
        <f>'3o TRIMESTRE'!D33</f>
        <v>FINISA</v>
      </c>
      <c r="E33" s="93">
        <f>'3o TRIMESTRE'!E33</f>
        <v>113346677.56</v>
      </c>
      <c r="F33" s="93">
        <f>'3o TRIMESTRE'!F33</f>
        <v>0</v>
      </c>
      <c r="G33" s="19" t="str">
        <f>'3o TRIMESTRE'!G33</f>
        <v>07.693.988/0001-60</v>
      </c>
      <c r="H33" s="19" t="str">
        <f>'3o TRIMESTRE'!H33</f>
        <v>F R F ENGENHARIA LTDA</v>
      </c>
      <c r="I33" s="17" t="str">
        <f>'3o TRIMESTRE'!I33</f>
        <v>6-022/21</v>
      </c>
      <c r="J33" s="35">
        <f>'3o TRIMESTRE'!J33</f>
        <v>44365</v>
      </c>
      <c r="K33" s="17">
        <f>'3o TRIMESTRE'!K33</f>
        <v>790</v>
      </c>
      <c r="L33" s="93">
        <f>'3o TRIMESTRE'!L33</f>
        <v>9358982.3300000001</v>
      </c>
      <c r="M33" s="35">
        <f t="shared" si="0"/>
        <v>45155</v>
      </c>
      <c r="N33" s="17">
        <f>'3o TRIMESTRE'!N33</f>
        <v>0</v>
      </c>
      <c r="O33" s="93">
        <f>'3o TRIMESTRE'!O33</f>
        <v>0</v>
      </c>
      <c r="P33" s="93">
        <f>'3o TRIMESTRE'!P33</f>
        <v>0</v>
      </c>
      <c r="Q33" s="17" t="str">
        <f>'3o TRIMESTRE'!Q33</f>
        <v>3.3.90.39</v>
      </c>
      <c r="R33" s="93">
        <f>'3o TRIMESTRE'!R33</f>
        <v>3286384.86</v>
      </c>
      <c r="S33" s="93"/>
      <c r="T33" s="93">
        <f>'3o TRIMESTRE'!T33+S33</f>
        <v>1907122.27</v>
      </c>
      <c r="U33" s="93" t="e">
        <f>'3o TRIMESTRE'!U33+S33</f>
        <v>#REF!</v>
      </c>
      <c r="V33" s="19" t="s">
        <v>190</v>
      </c>
      <c r="W33" s="10" t="e">
        <f t="shared" si="1"/>
        <v>#REF!</v>
      </c>
      <c r="X33" s="112" t="s">
        <v>256</v>
      </c>
      <c r="Y33" s="98"/>
      <c r="Z33" s="10"/>
      <c r="AA33" s="42" t="str">
        <f t="shared" si="2"/>
        <v>verdadeiro</v>
      </c>
    </row>
    <row r="34" spans="1:29" ht="21.45">
      <c r="A34" s="19" t="str">
        <f>'3o TRIMESTRE'!A34</f>
        <v>CONCORRÊNCIA 03/2016</v>
      </c>
      <c r="B34" s="19" t="str">
        <f>'3o TRIMESTRE'!B34</f>
        <v xml:space="preserve">SERVIÇOS DE APOIO TÉCNICO AO MKONITORAMENTO DAS AÇÕES DE MANUTENÇÃO DO SISTEMA VIÁRIO DA CIDADE DO RECIFE, </v>
      </c>
      <c r="C34" s="19">
        <v>0</v>
      </c>
      <c r="D34" s="19">
        <f>'3o TRIMESTRE'!D34</f>
        <v>0</v>
      </c>
      <c r="E34" s="93">
        <f>'3o TRIMESTRE'!E34</f>
        <v>0</v>
      </c>
      <c r="F34" s="93">
        <f>'3o TRIMESTRE'!F34</f>
        <v>0</v>
      </c>
      <c r="G34" s="19" t="str">
        <f>'3o TRIMESTRE'!G34</f>
        <v xml:space="preserve">41.075.755/0001-32 </v>
      </c>
      <c r="H34" s="19" t="str">
        <f>'3o TRIMESTRE'!H34</f>
        <v>NORCONSULT PROJETOS E CONSULTORIA LTDA</v>
      </c>
      <c r="I34" s="17" t="str">
        <f>'3o TRIMESTRE'!I34</f>
        <v>6-023/16</v>
      </c>
      <c r="J34" s="35">
        <f>'3o TRIMESTRE'!J34</f>
        <v>42772</v>
      </c>
      <c r="K34" s="17">
        <f>'3o TRIMESTRE'!K34</f>
        <v>365</v>
      </c>
      <c r="L34" s="93">
        <f>'3o TRIMESTRE'!L34</f>
        <v>1777584.96</v>
      </c>
      <c r="M34" s="35">
        <f t="shared" si="0"/>
        <v>44597</v>
      </c>
      <c r="N34" s="17">
        <f>'3o TRIMESTRE'!N34</f>
        <v>1460</v>
      </c>
      <c r="O34" s="93">
        <f>'3o TRIMESTRE'!O34</f>
        <v>8848759.4399999995</v>
      </c>
      <c r="P34" s="93">
        <f>'3o TRIMESTRE'!P34</f>
        <v>88092.12</v>
      </c>
      <c r="Q34" s="17" t="str">
        <f>'3o TRIMESTRE'!Q34</f>
        <v>3.3.90.39</v>
      </c>
      <c r="R34" s="93">
        <f>'3o TRIMESTRE'!R34+124611.84</f>
        <v>7522435.5100000007</v>
      </c>
      <c r="S34" s="93">
        <v>327285.12</v>
      </c>
      <c r="T34" s="93">
        <f>'3o TRIMESTRE'!T34+S34</f>
        <v>894426.43</v>
      </c>
      <c r="U34" s="93" t="e">
        <f>'3o TRIMESTRE'!U34+S34</f>
        <v>#REF!</v>
      </c>
      <c r="V34" s="19" t="str">
        <f>'3o TRIMESTRE'!V34</f>
        <v>encerrado</v>
      </c>
      <c r="W34" s="10" t="e">
        <f t="shared" si="1"/>
        <v>#REF!</v>
      </c>
      <c r="Y34" s="37"/>
      <c r="Z34" s="37"/>
      <c r="AA34" s="42" t="str">
        <f t="shared" si="2"/>
        <v>verdadeiro</v>
      </c>
    </row>
    <row r="35" spans="1:29" ht="42.9">
      <c r="A35" s="19" t="str">
        <f>'3o TRIMESTRE'!A35</f>
        <v>CONCORRÊNCIA Licitação: 2/2021</v>
      </c>
      <c r="B35" s="19" t="str">
        <f>'3o TRIMESTRE'!B35</f>
        <v>RECUPERACAO DE ESCADARIAS. MUROS E CORRIMOES LOCALIZADAS NAS DIVERSAS NAS DIVERSAS REGIAO POLITICA ADMINISTRATIVA RPAS DA CIDADE DO RECIFE. DIVIDIDAS EM EM LOTES. LOTE I RPA 2; LOTE II RPA 3 E LOTE III RPA 4.5.6</v>
      </c>
      <c r="C35" s="19" t="s">
        <v>122</v>
      </c>
      <c r="D35" s="19" t="str">
        <f>'3o TRIMESTRE'!D35</f>
        <v>FINISA</v>
      </c>
      <c r="E35" s="93">
        <f>'3o TRIMESTRE'!E35</f>
        <v>113346677.56</v>
      </c>
      <c r="F35" s="93">
        <f>'3o TRIMESTRE'!F35</f>
        <v>0</v>
      </c>
      <c r="G35" s="19" t="str">
        <f>'3o TRIMESTRE'!G35</f>
        <v>10.811.370/0001-62</v>
      </c>
      <c r="H35" s="19" t="str">
        <f>'3o TRIMESTRE'!H35</f>
        <v>GUERRA CONSTRUCOES LTDA</v>
      </c>
      <c r="I35" s="17" t="str">
        <f>'3o TRIMESTRE'!I35</f>
        <v>6-023/21</v>
      </c>
      <c r="J35" s="35">
        <f>'3o TRIMESTRE'!J35</f>
        <v>44365</v>
      </c>
      <c r="K35" s="17">
        <f>'3o TRIMESTRE'!K35</f>
        <v>790</v>
      </c>
      <c r="L35" s="93">
        <f>'3o TRIMESTRE'!L35</f>
        <v>7403917.6600000001</v>
      </c>
      <c r="M35" s="35">
        <f t="shared" si="0"/>
        <v>45245</v>
      </c>
      <c r="N35" s="17">
        <f>'3o TRIMESTRE'!N35</f>
        <v>90</v>
      </c>
      <c r="O35" s="93">
        <f>'3o TRIMESTRE'!O35</f>
        <v>0</v>
      </c>
      <c r="P35" s="93">
        <f>'3o TRIMESTRE'!P35</f>
        <v>0</v>
      </c>
      <c r="Q35" s="17" t="str">
        <f>'3o TRIMESTRE'!Q35</f>
        <v>3.3.90.39</v>
      </c>
      <c r="R35" s="93">
        <f>'3o TRIMESTRE'!R35</f>
        <v>3414646.8400000003</v>
      </c>
      <c r="S35" s="93">
        <v>77778.37</v>
      </c>
      <c r="T35" s="93">
        <f>'3o TRIMESTRE'!T35+S35</f>
        <v>1218804.8599999999</v>
      </c>
      <c r="U35" s="93" t="e">
        <f>'3o TRIMESTRE'!U35+S35</f>
        <v>#REF!</v>
      </c>
      <c r="V35" s="19" t="s">
        <v>190</v>
      </c>
      <c r="W35" s="10" t="e">
        <f t="shared" si="1"/>
        <v>#REF!</v>
      </c>
      <c r="X35" s="113"/>
      <c r="Y35" s="37"/>
      <c r="Z35" s="37"/>
      <c r="AA35" s="42" t="str">
        <f t="shared" si="2"/>
        <v>verdadeiro</v>
      </c>
    </row>
    <row r="36" spans="1:29" ht="21.45">
      <c r="A36" s="19" t="str">
        <f>'3o TRIMESTRE'!A36</f>
        <v>PREGÃO  / Nº 14/2016</v>
      </c>
      <c r="B36" s="19" t="str">
        <f>'3o TRIMESTRE'!B36</f>
        <v xml:space="preserve">SERVIÇOS DE LIMPEZA URBANA – DESTINAÇÃO FINAL DOS RESÍDUOS SÓLIDOS </v>
      </c>
      <c r="C36" s="19" t="s">
        <v>155</v>
      </c>
      <c r="D36" s="19">
        <f>'3o TRIMESTRE'!D36</f>
        <v>0</v>
      </c>
      <c r="E36" s="93">
        <f>'3o TRIMESTRE'!E36+15823300.23</f>
        <v>15823300.23</v>
      </c>
      <c r="F36" s="93">
        <f>'3o TRIMESTRE'!F36</f>
        <v>0</v>
      </c>
      <c r="G36" s="19" t="str">
        <f>'3o TRIMESTRE'!G36</f>
        <v>08.165.091/0002-08</v>
      </c>
      <c r="H36" s="19" t="str">
        <f>'3o TRIMESTRE'!H36</f>
        <v xml:space="preserve">ECOPESA AMBIENTAL S/A                   </v>
      </c>
      <c r="I36" s="17" t="str">
        <f>'3o TRIMESTRE'!I36</f>
        <v>6-024/16</v>
      </c>
      <c r="J36" s="35">
        <f>'3o TRIMESTRE'!J36</f>
        <v>42769</v>
      </c>
      <c r="K36" s="17">
        <f>'3o TRIMESTRE'!K36</f>
        <v>365</v>
      </c>
      <c r="L36" s="93">
        <f>'3o TRIMESTRE'!L36</f>
        <v>8888698.4900000002</v>
      </c>
      <c r="M36" s="35">
        <f t="shared" si="0"/>
        <v>44776</v>
      </c>
      <c r="N36" s="17">
        <f>'3o TRIMESTRE'!N36</f>
        <v>1642</v>
      </c>
      <c r="O36" s="93">
        <f>'3o TRIMESTRE'!O36</f>
        <v>43850158.57</v>
      </c>
      <c r="P36" s="93">
        <f>'3o TRIMESTRE'!P36</f>
        <v>1440957.39</v>
      </c>
      <c r="Q36" s="17" t="str">
        <f>'3o TRIMESTRE'!Q36</f>
        <v>3.3.90.39</v>
      </c>
      <c r="R36" s="93">
        <f>'3o TRIMESTRE'!R36</f>
        <v>38758644.540000007</v>
      </c>
      <c r="S36" s="93"/>
      <c r="T36" s="93">
        <f>'3o TRIMESTRE'!T36+S36</f>
        <v>2242659.59</v>
      </c>
      <c r="U36" s="93" t="e">
        <f>'3o TRIMESTRE'!U36+S36</f>
        <v>#REF!</v>
      </c>
      <c r="V36" s="19" t="str">
        <f>'3o TRIMESTRE'!V36</f>
        <v>andamento</v>
      </c>
      <c r="W36" s="10" t="e">
        <f t="shared" si="1"/>
        <v>#REF!</v>
      </c>
      <c r="Y36" s="37"/>
      <c r="Z36" s="37"/>
      <c r="AA36" s="42" t="str">
        <f t="shared" si="2"/>
        <v>verdadeiro</v>
      </c>
    </row>
    <row r="37" spans="1:29" ht="53.6">
      <c r="A37" s="19" t="str">
        <f>'3o TRIMESTRE'!A37</f>
        <v>CONCORRÊNCIA Licitação:    004/2019</v>
      </c>
      <c r="B37" s="19" t="str">
        <f>'3o TRIMESTRE'!B37</f>
        <v>SERVIÇOS COMPLEMENTARES DE LIMPEZA URBANA EM ÁREAS PLANAS E DE TALUDE E SERVIÇOS DE MANUTENÇÃO CONTÍNUA PREVENTIVA E CORRETIVA DA ARBORIZAÇÃO URBANA EM MORROS, INCLUINDO A LOCAÇÃO DE VEÍCULOS E EQUIPAMENTOS.</v>
      </c>
      <c r="C37" s="19">
        <v>0</v>
      </c>
      <c r="D37" s="19">
        <f>'3o TRIMESTRE'!D37</f>
        <v>0</v>
      </c>
      <c r="E37" s="93">
        <f>'3o TRIMESTRE'!E37</f>
        <v>0</v>
      </c>
      <c r="F37" s="93">
        <f>'3o TRIMESTRE'!F37</f>
        <v>0</v>
      </c>
      <c r="G37" s="19" t="str">
        <f>'3o TRIMESTRE'!G37</f>
        <v>40.884.405/0001-54</v>
      </c>
      <c r="H37" s="19" t="str">
        <f>'3o TRIMESTRE'!H37</f>
        <v>LOQUIPE LOCACAO DE EQUIPAMENTOS E MAO DE OBRA LTDA</v>
      </c>
      <c r="I37" s="17" t="str">
        <f>'3o TRIMESTRE'!I37</f>
        <v>6-024/19</v>
      </c>
      <c r="J37" s="35">
        <f>'3o TRIMESTRE'!J37</f>
        <v>43633</v>
      </c>
      <c r="K37" s="17">
        <f>'3o TRIMESTRE'!K37</f>
        <v>395</v>
      </c>
      <c r="L37" s="93">
        <f>'3o TRIMESTRE'!L37</f>
        <v>12390281.279999999</v>
      </c>
      <c r="M37" s="35">
        <f t="shared" si="0"/>
        <v>44758</v>
      </c>
      <c r="N37" s="17">
        <f>'3o TRIMESTRE'!N37</f>
        <v>730</v>
      </c>
      <c r="O37" s="93">
        <f>'3o TRIMESTRE'!O37</f>
        <v>28104956.880000003</v>
      </c>
      <c r="P37" s="93">
        <f>'3o TRIMESTRE'!P37</f>
        <v>2473711.6800000002</v>
      </c>
      <c r="Q37" s="17" t="str">
        <f>'3o TRIMESTRE'!Q37</f>
        <v>3.3.90.39</v>
      </c>
      <c r="R37" s="93">
        <f>'3o TRIMESTRE'!R37+6974079.94</f>
        <v>37514440.380000003</v>
      </c>
      <c r="S37" s="93">
        <v>8631795.9100000001</v>
      </c>
      <c r="T37" s="93">
        <f>'3o TRIMESTRE'!T37+S37</f>
        <v>18712474.030000001</v>
      </c>
      <c r="U37" s="93" t="e">
        <f>'3o TRIMESTRE'!U37+S37</f>
        <v>#REF!</v>
      </c>
      <c r="V37" s="19" t="str">
        <f>'3o TRIMESTRE'!V37</f>
        <v>andamento</v>
      </c>
      <c r="W37" s="10" t="e">
        <f t="shared" si="1"/>
        <v>#REF!</v>
      </c>
      <c r="Y37" s="37"/>
      <c r="Z37" s="37"/>
      <c r="AA37" s="42" t="str">
        <f t="shared" si="2"/>
        <v>verdadeiro</v>
      </c>
    </row>
    <row r="38" spans="1:29" ht="32.15">
      <c r="A38" s="19" t="str">
        <f>'3o TRIMESTRE'!A38</f>
        <v>CONCORRÊNCIA Licitação: 1/2020</v>
      </c>
      <c r="B38" s="19" t="str">
        <f>'3o TRIMESTRE'!B38</f>
        <v>SERVIÇOS DE MANUTENÇÃO CORRETIVA DE VIAS NÃO PAVIMENTADAS DO SISTEMA VIÁRIO DA CIDADE DO RECIFE, COMPOSTOS BASICAMENTE POR SERVIÇOS DE TERRAPLENAGEM.</v>
      </c>
      <c r="C38" s="19" t="s">
        <v>154</v>
      </c>
      <c r="D38" s="19">
        <f>'3o TRIMESTRE'!D38</f>
        <v>0</v>
      </c>
      <c r="E38" s="93">
        <f>'3o TRIMESTRE'!E38+15823300.23</f>
        <v>15823300.23</v>
      </c>
      <c r="F38" s="93">
        <f>'3o TRIMESTRE'!F38</f>
        <v>0</v>
      </c>
      <c r="G38" s="19" t="str">
        <f>'3o TRIMESTRE'!G38</f>
        <v>40.884.405/0001-54</v>
      </c>
      <c r="H38" s="19" t="str">
        <f>'3o TRIMESTRE'!H38</f>
        <v>LOQUIPE LOCACAO DE EQUIPAMENTOS E MAO DE OBRA LTDA</v>
      </c>
      <c r="I38" s="17" t="str">
        <f>'3o TRIMESTRE'!I38</f>
        <v>6-024/20</v>
      </c>
      <c r="J38" s="35">
        <f>'3o TRIMESTRE'!J38</f>
        <v>44084</v>
      </c>
      <c r="K38" s="17">
        <f>'3o TRIMESTRE'!K38</f>
        <v>760</v>
      </c>
      <c r="L38" s="93">
        <f>'3o TRIMESTRE'!L38</f>
        <v>2567335.44</v>
      </c>
      <c r="M38" s="35">
        <f t="shared" si="0"/>
        <v>44844</v>
      </c>
      <c r="N38" s="17">
        <f>'3o TRIMESTRE'!N38</f>
        <v>0</v>
      </c>
      <c r="O38" s="93">
        <f>'3o TRIMESTRE'!O38</f>
        <v>0</v>
      </c>
      <c r="P38" s="93">
        <f>'3o TRIMESTRE'!P38</f>
        <v>0</v>
      </c>
      <c r="Q38" s="17" t="str">
        <f>'3o TRIMESTRE'!Q38</f>
        <v>3.3.90.39</v>
      </c>
      <c r="R38" s="93">
        <f>'3o TRIMESTRE'!R38</f>
        <v>1650108.01</v>
      </c>
      <c r="S38" s="93">
        <v>0</v>
      </c>
      <c r="T38" s="93">
        <f>'3o TRIMESTRE'!T38+S38</f>
        <v>174397.54</v>
      </c>
      <c r="U38" s="93" t="e">
        <f>'3o TRIMESTRE'!U38+S38</f>
        <v>#REF!</v>
      </c>
      <c r="V38" s="19" t="str">
        <f>'3o TRIMESTRE'!V38</f>
        <v>andamento</v>
      </c>
      <c r="W38" s="10" t="e">
        <f t="shared" si="1"/>
        <v>#REF!</v>
      </c>
      <c r="Y38" s="37"/>
      <c r="Z38" s="37"/>
      <c r="AA38" s="42" t="str">
        <f t="shared" si="2"/>
        <v>verdadeiro</v>
      </c>
    </row>
    <row r="39" spans="1:29" ht="42.9">
      <c r="A39" s="19" t="str">
        <f>'3o TRIMESTRE'!A39</f>
        <v>CONCORRÊNCIA Licitação: 18/2020</v>
      </c>
      <c r="B39" s="19" t="str">
        <f>'3o TRIMESTRE'!B39</f>
        <v>CONTRATACAO DE SERVICOS DE MANUTENCAO PREVENTIVA IMPLANTACAO. REQUALIFICACAO E OU RECAPEAMENTO DE VIAS EM CONCRETO BETUMINOSO USINADO A QUENTE CBUQ DO SISTEMA VIARIO DA CIDADE DO RECIFE LOTE I RPA 1</v>
      </c>
      <c r="C39" s="19" t="s">
        <v>122</v>
      </c>
      <c r="D39" s="19" t="str">
        <f>'3o TRIMESTRE'!D39</f>
        <v>FINISA e CTTU</v>
      </c>
      <c r="E39" s="93">
        <f>'3o TRIMESTRE'!E39</f>
        <v>139865458.63</v>
      </c>
      <c r="F39" s="93">
        <f>'3o TRIMESTRE'!F39</f>
        <v>0</v>
      </c>
      <c r="G39" s="19" t="str">
        <f>'3o TRIMESTRE'!G39</f>
        <v>40.882.060/0001-08</v>
      </c>
      <c r="H39" s="19" t="str">
        <f>'3o TRIMESTRE'!H39</f>
        <v>LIDERMAC CONSTRUCOES E EQUIPAMENTOS LTDA</v>
      </c>
      <c r="I39" s="17" t="str">
        <f>'3o TRIMESTRE'!I39</f>
        <v>6-024/21</v>
      </c>
      <c r="J39" s="35">
        <f>'3o TRIMESTRE'!J39</f>
        <v>44370</v>
      </c>
      <c r="K39" s="17">
        <f>'3o TRIMESTRE'!K39</f>
        <v>760</v>
      </c>
      <c r="L39" s="93">
        <f>'3o TRIMESTRE'!L39</f>
        <v>16439785.83</v>
      </c>
      <c r="M39" s="35">
        <f t="shared" si="0"/>
        <v>45160</v>
      </c>
      <c r="N39" s="17">
        <f>'3o TRIMESTRE'!N39</f>
        <v>30</v>
      </c>
      <c r="O39" s="93">
        <f>'3o TRIMESTRE'!O39</f>
        <v>0</v>
      </c>
      <c r="P39" s="93">
        <f>'3o TRIMESTRE'!P39</f>
        <v>0</v>
      </c>
      <c r="Q39" s="17" t="str">
        <f>'3o TRIMESTRE'!Q39</f>
        <v>4.4.90.39</v>
      </c>
      <c r="R39" s="93">
        <f>'3o TRIMESTRE'!R39</f>
        <v>4939448.38</v>
      </c>
      <c r="S39" s="93">
        <v>0</v>
      </c>
      <c r="T39" s="93">
        <f>'3o TRIMESTRE'!T39+S39</f>
        <v>186593.99</v>
      </c>
      <c r="U39" s="93" t="e">
        <f>'3o TRIMESTRE'!U39+S39</f>
        <v>#REF!</v>
      </c>
      <c r="V39" s="19" t="s">
        <v>190</v>
      </c>
      <c r="W39" s="10" t="e">
        <f t="shared" si="1"/>
        <v>#REF!</v>
      </c>
      <c r="Y39" s="37"/>
      <c r="Z39" s="37"/>
      <c r="AA39" s="42" t="str">
        <f t="shared" si="2"/>
        <v>verdadeiro</v>
      </c>
    </row>
    <row r="40" spans="1:29" ht="21.45">
      <c r="A40" s="19" t="str">
        <f>'3o TRIMESTRE'!A40</f>
        <v>PREGÃO PRESENCIAL/ Nº 014/2016</v>
      </c>
      <c r="B40" s="19" t="str">
        <f>'3o TRIMESTRE'!B40</f>
        <v>SERVIÇO DE LIMPEZA URBANA - DESTINAÇÃO FINAL DOS RESÍDUOS SÓLIDOS</v>
      </c>
      <c r="C40" s="19" t="s">
        <v>155</v>
      </c>
      <c r="D40" s="19">
        <f>'3o TRIMESTRE'!D40</f>
        <v>0</v>
      </c>
      <c r="E40" s="93">
        <f>'3o TRIMESTRE'!E40+15823300.23</f>
        <v>15823300.23</v>
      </c>
      <c r="F40" s="93">
        <f>'3o TRIMESTRE'!F40</f>
        <v>0</v>
      </c>
      <c r="G40" s="19" t="str">
        <f>'3o TRIMESTRE'!G40</f>
        <v>41.116.138/0001-38</v>
      </c>
      <c r="H40" s="19" t="str">
        <f>'3o TRIMESTRE'!H40</f>
        <v>CICLO AMBIENTAL LTDA</v>
      </c>
      <c r="I40" s="17" t="str">
        <f>'3o TRIMESTRE'!I40</f>
        <v>6-025/16</v>
      </c>
      <c r="J40" s="35">
        <f>'3o TRIMESTRE'!J40</f>
        <v>42814</v>
      </c>
      <c r="K40" s="17">
        <f>'3o TRIMESTRE'!K40</f>
        <v>365</v>
      </c>
      <c r="L40" s="93">
        <f>'3o TRIMESTRE'!L40</f>
        <v>3423770.88</v>
      </c>
      <c r="M40" s="35">
        <f t="shared" si="0"/>
        <v>44959</v>
      </c>
      <c r="N40" s="17">
        <f>'3o TRIMESTRE'!N40</f>
        <v>1780</v>
      </c>
      <c r="O40" s="93">
        <f>'3o TRIMESTRE'!O40</f>
        <v>23484577.199999999</v>
      </c>
      <c r="P40" s="93">
        <f>'3o TRIMESTRE'!P40</f>
        <v>559078.56000000006</v>
      </c>
      <c r="Q40" s="17" t="str">
        <f>'3o TRIMESTRE'!Q40</f>
        <v>3.3.90.39</v>
      </c>
      <c r="R40" s="93">
        <f>'3o TRIMESTRE'!R40</f>
        <v>20750532.399999999</v>
      </c>
      <c r="S40" s="93">
        <v>0</v>
      </c>
      <c r="T40" s="93">
        <f>'3o TRIMESTRE'!T40+S40</f>
        <v>589433.02</v>
      </c>
      <c r="U40" s="93" t="e">
        <f>'3o TRIMESTRE'!U40+S40</f>
        <v>#REF!</v>
      </c>
      <c r="V40" s="19" t="str">
        <f>'3o TRIMESTRE'!V40</f>
        <v>andamento</v>
      </c>
      <c r="W40" s="10" t="e">
        <f t="shared" si="1"/>
        <v>#REF!</v>
      </c>
      <c r="Y40" s="37"/>
      <c r="Z40" s="37"/>
      <c r="AA40" s="42" t="str">
        <f t="shared" si="2"/>
        <v>verdadeiro</v>
      </c>
    </row>
    <row r="41" spans="1:29" ht="42.9">
      <c r="A41" s="19" t="str">
        <f>'3o TRIMESTRE'!A41</f>
        <v>CONCORRÊNCIA Licitação: 18/2020</v>
      </c>
      <c r="B41" s="19" t="str">
        <f>'3o TRIMESTRE'!B41</f>
        <v>CONTRATACAO DE SERVICOS DE MANUTENCAO PREVENTIVA IMPLANTACAO. REQUALIFICACAO E OU RECAPEAMENTO DE VIAS EM CONCRETO BETUMINOSO USINADO A QUENTE CBUQ DO SISTEMA VIARIO DA CIDADE DO RECIFE LOTE II RPA 2 E 3</v>
      </c>
      <c r="C41" s="19">
        <v>0</v>
      </c>
      <c r="D41" s="19" t="str">
        <f>'3o TRIMESTRE'!D41</f>
        <v>FINISA e CTTU</v>
      </c>
      <c r="E41" s="93">
        <f>'3o TRIMESTRE'!E41</f>
        <v>139865458.63</v>
      </c>
      <c r="F41" s="93">
        <f>'3o TRIMESTRE'!F41</f>
        <v>0</v>
      </c>
      <c r="G41" s="19" t="str">
        <f>'3o TRIMESTRE'!G41</f>
        <v>00.999.591/0001-52</v>
      </c>
      <c r="H41" s="19" t="str">
        <f>'3o TRIMESTRE'!H41</f>
        <v xml:space="preserve">AGC CONSTRUTORA E EMPREENDIMENTOS LTDA      </v>
      </c>
      <c r="I41" s="17" t="str">
        <f>'3o TRIMESTRE'!I41</f>
        <v>6-025/21</v>
      </c>
      <c r="J41" s="35">
        <f>'3o TRIMESTRE'!J41</f>
        <v>44370</v>
      </c>
      <c r="K41" s="17">
        <f>'3o TRIMESTRE'!K41</f>
        <v>760</v>
      </c>
      <c r="L41" s="93">
        <f>'3o TRIMESTRE'!L41</f>
        <v>16994062.079999998</v>
      </c>
      <c r="M41" s="35">
        <f t="shared" si="0"/>
        <v>45130</v>
      </c>
      <c r="N41" s="17">
        <f>'3o TRIMESTRE'!N41</f>
        <v>0</v>
      </c>
      <c r="O41" s="93">
        <f>'3o TRIMESTRE'!O41+1428530</f>
        <v>2591606</v>
      </c>
      <c r="P41" s="93">
        <f>'3o TRIMESTRE'!P41</f>
        <v>0</v>
      </c>
      <c r="Q41" s="17" t="str">
        <f>'3o TRIMESTRE'!Q41</f>
        <v>4.4.90.39</v>
      </c>
      <c r="R41" s="93">
        <f>'3o TRIMESTRE'!R41+11815813.51</f>
        <v>60830406.43</v>
      </c>
      <c r="S41" s="93">
        <v>11815813.510000002</v>
      </c>
      <c r="T41" s="93">
        <f>'3o TRIMESTRE'!T41+S41</f>
        <v>52284121.590000004</v>
      </c>
      <c r="U41" s="93" t="e">
        <f>'3o TRIMESTRE'!U41+S41</f>
        <v>#REF!</v>
      </c>
      <c r="V41" s="19" t="s">
        <v>190</v>
      </c>
      <c r="W41" s="10" t="e">
        <f t="shared" si="1"/>
        <v>#REF!</v>
      </c>
      <c r="Y41" s="37"/>
      <c r="Z41" s="37"/>
      <c r="AA41" s="42" t="str">
        <f t="shared" si="2"/>
        <v>verdadeiro</v>
      </c>
    </row>
    <row r="42" spans="1:29" ht="42.9">
      <c r="A42" s="19" t="str">
        <f>'3o TRIMESTRE'!A42</f>
        <v>CONCORRÊNCIA Licitação: 18/2020</v>
      </c>
      <c r="B42" s="19" t="str">
        <f>'3o TRIMESTRE'!B42</f>
        <v>CONTRATACAO DE SERVICOS DE MANUTENCAO PREVENTIVA IMPLANTACAO. REQUALIFICACAO E OU RECAPEAMENTO DE VIAS EM CONCRETO BETUMINOSO USINADO A QUENTE CBUQ DO SISTEMA VIARIO DA CIDADE DO RECIFE LOTES III RPA 4 E 5</v>
      </c>
      <c r="C42" s="19">
        <v>0</v>
      </c>
      <c r="D42" s="19" t="str">
        <f>'3o TRIMESTRE'!D42</f>
        <v>FINISA e CTTU</v>
      </c>
      <c r="E42" s="93">
        <f>'3o TRIMESTRE'!E42</f>
        <v>139865458.63</v>
      </c>
      <c r="F42" s="93">
        <f>'3o TRIMESTRE'!F42</f>
        <v>0</v>
      </c>
      <c r="G42" s="19" t="str">
        <f>'3o TRIMESTRE'!G42</f>
        <v>23.742.620/0001-00</v>
      </c>
      <c r="H42" s="19" t="str">
        <f>'3o TRIMESTRE'!H42</f>
        <v>INSTTALE ENGENHARIA LTDA</v>
      </c>
      <c r="I42" s="17" t="str">
        <f>'3o TRIMESTRE'!I42</f>
        <v>6-026/21</v>
      </c>
      <c r="J42" s="35">
        <f>'3o TRIMESTRE'!J42</f>
        <v>44370</v>
      </c>
      <c r="K42" s="17">
        <f>'3o TRIMESTRE'!K42</f>
        <v>760</v>
      </c>
      <c r="L42" s="93">
        <f>'3o TRIMESTRE'!L42</f>
        <v>21157084.25</v>
      </c>
      <c r="M42" s="35">
        <f t="shared" si="0"/>
        <v>45130</v>
      </c>
      <c r="N42" s="17">
        <f>'3o TRIMESTRE'!N42</f>
        <v>0</v>
      </c>
      <c r="O42" s="93">
        <f>'3o TRIMESTRE'!O42+78982</f>
        <v>4769947.8499999996</v>
      </c>
      <c r="P42" s="93">
        <f>'3o TRIMESTRE'!P42</f>
        <v>0</v>
      </c>
      <c r="Q42" s="17" t="str">
        <f>'3o TRIMESTRE'!Q42</f>
        <v>4.4.90.39</v>
      </c>
      <c r="R42" s="93">
        <f>'3o TRIMESTRE'!R42+671742.96</f>
        <v>13724142.510000002</v>
      </c>
      <c r="S42" s="93">
        <v>547961.73</v>
      </c>
      <c r="T42" s="93">
        <f>'3o TRIMESTRE'!T42+S42</f>
        <v>3466137.82</v>
      </c>
      <c r="U42" s="93" t="e">
        <f>'3o TRIMESTRE'!U42+S42</f>
        <v>#REF!</v>
      </c>
      <c r="V42" s="19" t="str">
        <f>'3o TRIMESTRE'!V42</f>
        <v>andamento</v>
      </c>
      <c r="W42" s="10" t="e">
        <f t="shared" si="1"/>
        <v>#REF!</v>
      </c>
      <c r="X42" s="111">
        <f>62196.91+29593.57+31990.75</f>
        <v>123781.23000000001</v>
      </c>
      <c r="Y42" s="37" t="e">
        <f>W42+X42</f>
        <v>#REF!</v>
      </c>
      <c r="Z42" s="37" t="s">
        <v>269</v>
      </c>
      <c r="AA42" s="42" t="str">
        <f t="shared" si="2"/>
        <v>verdadeiro</v>
      </c>
    </row>
    <row r="43" spans="1:29" ht="32.15">
      <c r="A43" s="19" t="str">
        <f>'3o TRIMESTRE'!A43</f>
        <v>CONCORRÊNCIA Licitação: 3/2020</v>
      </c>
      <c r="B43" s="19" t="str">
        <f>'3o TRIMESTRE'!B43</f>
        <v>SERVIÇOS DE IMPLANTAÇÃO/REQUALIFICAÇÃO DA REDE DE DRENAGEM E PAVIMENTAÇÃO DAS RUAS DAVID NASSER E SENADOR THOMAZ LOBO</v>
      </c>
      <c r="C43" s="19">
        <v>0</v>
      </c>
      <c r="D43" s="19" t="str">
        <f>'3o TRIMESTRE'!D43</f>
        <v>FINISA</v>
      </c>
      <c r="E43" s="93">
        <f>'3o TRIMESTRE'!E43</f>
        <v>94508747.5</v>
      </c>
      <c r="F43" s="93">
        <f>'3o TRIMESTRE'!F43</f>
        <v>0</v>
      </c>
      <c r="G43" s="19" t="str">
        <f>'3o TRIMESTRE'!G43</f>
        <v>07.157.925/0001-90</v>
      </c>
      <c r="H43" s="19" t="str">
        <f>'3o TRIMESTRE'!H43</f>
        <v>WB CONSTRUTORA LTDA</v>
      </c>
      <c r="I43" s="17" t="str">
        <f>'3o TRIMESTRE'!I43</f>
        <v>6-027/20</v>
      </c>
      <c r="J43" s="35">
        <f>'3o TRIMESTRE'!J43</f>
        <v>44089</v>
      </c>
      <c r="K43" s="17">
        <f>'3o TRIMESTRE'!K43</f>
        <v>210</v>
      </c>
      <c r="L43" s="93">
        <f>'3o TRIMESTRE'!L43</f>
        <v>3335155.86</v>
      </c>
      <c r="M43" s="35">
        <f t="shared" si="0"/>
        <v>44584</v>
      </c>
      <c r="N43" s="17">
        <f>'3o TRIMESTRE'!N43</f>
        <v>285</v>
      </c>
      <c r="O43" s="93">
        <f>'3o TRIMESTRE'!O43</f>
        <v>767945.97</v>
      </c>
      <c r="P43" s="93">
        <f>'3o TRIMESTRE'!P43</f>
        <v>0</v>
      </c>
      <c r="Q43" s="17" t="str">
        <f>'3o TRIMESTRE'!Q43</f>
        <v>4.4.90.39</v>
      </c>
      <c r="R43" s="93">
        <f>'3o TRIMESTRE'!R43</f>
        <v>3486185.38</v>
      </c>
      <c r="S43" s="93">
        <v>0</v>
      </c>
      <c r="T43" s="93">
        <f>'3o TRIMESTRE'!T43+S43</f>
        <v>538484.02</v>
      </c>
      <c r="U43" s="93" t="e">
        <f>'3o TRIMESTRE'!U43+S43</f>
        <v>#REF!</v>
      </c>
      <c r="V43" s="19" t="str">
        <f>'3o TRIMESTRE'!V43</f>
        <v>encerrado</v>
      </c>
      <c r="W43" s="10" t="e">
        <f t="shared" si="1"/>
        <v>#REF!</v>
      </c>
      <c r="Y43" s="37"/>
      <c r="Z43" s="37"/>
      <c r="AA43" s="42" t="str">
        <f t="shared" si="2"/>
        <v>verdadeiro</v>
      </c>
    </row>
    <row r="44" spans="1:29" ht="42.9">
      <c r="A44" s="19" t="str">
        <f>'3o TRIMESTRE'!A44</f>
        <v>CONCORRÊNCIA Licitação: 18/2020</v>
      </c>
      <c r="B44" s="19" t="str">
        <f>'3o TRIMESTRE'!B44</f>
        <v>CONTRATACAO DE SERVICOS DE MANUTENCAO PREVENTIVA IMPLANTACAO. REQUALIFICACAO E OU RECAPEAMENTO DE VIAS EM CONCRETO BETUMINOSO USINADO A QUENTE CBUQ DO SISTEMA VIARIO DA CIDADE DO RECIFE LOTE IV RPA 6</v>
      </c>
      <c r="C44" s="19" t="s">
        <v>122</v>
      </c>
      <c r="D44" s="19" t="str">
        <f>'3o TRIMESTRE'!D44</f>
        <v>FINISA e CTTU</v>
      </c>
      <c r="E44" s="93">
        <f>'3o TRIMESTRE'!E44</f>
        <v>139865458.63</v>
      </c>
      <c r="F44" s="93">
        <f>'3o TRIMESTRE'!F44</f>
        <v>0</v>
      </c>
      <c r="G44" s="19" t="str">
        <f>'3o TRIMESTRE'!G44</f>
        <v>40.882.060/0001-08</v>
      </c>
      <c r="H44" s="19" t="str">
        <f>'3o TRIMESTRE'!H44</f>
        <v>LIDERMAC CONSTRUCOES E EQUIPAMENTOS LTDA</v>
      </c>
      <c r="I44" s="17" t="str">
        <f>'3o TRIMESTRE'!I44</f>
        <v>6-027/21</v>
      </c>
      <c r="J44" s="35">
        <f>'3o TRIMESTRE'!J44</f>
        <v>44370</v>
      </c>
      <c r="K44" s="17">
        <f>'3o TRIMESTRE'!K44</f>
        <v>760</v>
      </c>
      <c r="L44" s="93">
        <f>'3o TRIMESTRE'!L44</f>
        <v>17242398.460000001</v>
      </c>
      <c r="M44" s="35">
        <f t="shared" si="0"/>
        <v>45130</v>
      </c>
      <c r="N44" s="17">
        <f>'3o TRIMESTRE'!N44</f>
        <v>0</v>
      </c>
      <c r="O44" s="93">
        <f>'3o TRIMESTRE'!O44</f>
        <v>0</v>
      </c>
      <c r="P44" s="93">
        <f>'3o TRIMESTRE'!P44</f>
        <v>0</v>
      </c>
      <c r="Q44" s="17" t="str">
        <f>'3o TRIMESTRE'!Q44</f>
        <v>4.4.90.39</v>
      </c>
      <c r="R44" s="93">
        <f>'3o TRIMESTRE'!R44</f>
        <v>5485940.3599999994</v>
      </c>
      <c r="S44" s="93">
        <v>0</v>
      </c>
      <c r="T44" s="93">
        <f>'3o TRIMESTRE'!T44+S44</f>
        <v>515363.27</v>
      </c>
      <c r="U44" s="93" t="e">
        <f>'3o TRIMESTRE'!U44+S44</f>
        <v>#REF!</v>
      </c>
      <c r="V44" s="19" t="s">
        <v>190</v>
      </c>
      <c r="W44" s="10" t="e">
        <f t="shared" si="1"/>
        <v>#REF!</v>
      </c>
      <c r="Y44" s="37"/>
      <c r="Z44" s="37"/>
      <c r="AA44" s="42" t="str">
        <f t="shared" si="2"/>
        <v>verdadeiro</v>
      </c>
    </row>
    <row r="45" spans="1:29" ht="42.9">
      <c r="A45" s="19" t="str">
        <f>'3o TRIMESTRE'!A45</f>
        <v>CONCORRÊNCIA Licitação: 16/2020</v>
      </c>
      <c r="B45" s="19" t="str">
        <f>'3o TRIMESTRE'!B45</f>
        <v>EXECUÇÃO DE SERVIÇOS DE REQUALIFICAÇÃO MANUTENÇÃO PREVENTIVA E CORRETIVA DE PRAÇAS, PARQUES E ÁREAS VERDES CANTEIROS DE AVENIDAS E REFÚGIOS DA CIDADE DO RECIFE RPAS 1,2 E 3</v>
      </c>
      <c r="C45" s="19" t="s">
        <v>155</v>
      </c>
      <c r="D45" s="19">
        <f>'3o TRIMESTRE'!D45</f>
        <v>0</v>
      </c>
      <c r="E45" s="93">
        <f>'3o TRIMESTRE'!E45+15823300.23</f>
        <v>15823300.23</v>
      </c>
      <c r="F45" s="93">
        <f>'3o TRIMESTRE'!F45</f>
        <v>0</v>
      </c>
      <c r="G45" s="19" t="str">
        <f>'3o TRIMESTRE'!G45</f>
        <v>05.625.079/0001-60</v>
      </c>
      <c r="H45" s="19" t="str">
        <f>'3o TRIMESTRE'!H45</f>
        <v xml:space="preserve">CONSTRUTORA MARDIFI LTDA - EPP </v>
      </c>
      <c r="I45" s="17" t="str">
        <f>'3o TRIMESTRE'!I45</f>
        <v>6-028/21</v>
      </c>
      <c r="J45" s="35">
        <f>'3o TRIMESTRE'!J45</f>
        <v>44391</v>
      </c>
      <c r="K45" s="17">
        <f>'3o TRIMESTRE'!K45</f>
        <v>790</v>
      </c>
      <c r="L45" s="93">
        <f>'3o TRIMESTRE'!L45</f>
        <v>5538433.2699999996</v>
      </c>
      <c r="M45" s="35">
        <f t="shared" si="0"/>
        <v>45272</v>
      </c>
      <c r="N45" s="17">
        <f>'3o TRIMESTRE'!N45+91</f>
        <v>91</v>
      </c>
      <c r="O45" s="93">
        <f>'3o TRIMESTRE'!O45+21072.02</f>
        <v>1192520.31</v>
      </c>
      <c r="P45" s="93">
        <f>'3o TRIMESTRE'!P45</f>
        <v>0</v>
      </c>
      <c r="Q45" s="17" t="str">
        <f>'3o TRIMESTRE'!Q45</f>
        <v>3.3.90.39</v>
      </c>
      <c r="R45" s="93">
        <f>'3o TRIMESTRE'!R45+1461121.36</f>
        <v>2962142.42</v>
      </c>
      <c r="S45" s="93">
        <v>1745379.23</v>
      </c>
      <c r="T45" s="93">
        <f>'3o TRIMESTRE'!T45+S45</f>
        <v>2635130.94</v>
      </c>
      <c r="U45" s="93" t="e">
        <f>'3o TRIMESTRE'!U45+S45</f>
        <v>#REF!</v>
      </c>
      <c r="V45" s="19" t="s">
        <v>190</v>
      </c>
      <c r="W45" s="10" t="e">
        <f t="shared" si="1"/>
        <v>#REF!</v>
      </c>
      <c r="Y45" s="37"/>
      <c r="Z45" s="37"/>
      <c r="AA45" s="42" t="str">
        <f t="shared" si="2"/>
        <v>verdadeiro</v>
      </c>
      <c r="AB45" s="37"/>
      <c r="AC45" s="45"/>
    </row>
    <row r="46" spans="1:29" ht="21.45">
      <c r="A46" s="19" t="str">
        <f>'3o TRIMESTRE'!A46</f>
        <v>CONCORRÊNCIA Licitação: 2/2020</v>
      </c>
      <c r="B46" s="19" t="str">
        <f>'3o TRIMESTRE'!B46</f>
        <v>CONTRATAÇÃO DOS SERVIÇOS DE MANUTENÇÃO CORRETIVA DO SISTEMA VIÁRIO DO RECIFE RPA 01</v>
      </c>
      <c r="C46" s="19">
        <v>0</v>
      </c>
      <c r="D46" s="19">
        <f>'3o TRIMESTRE'!D46</f>
        <v>0</v>
      </c>
      <c r="E46" s="93">
        <f>'3o TRIMESTRE'!E46</f>
        <v>0</v>
      </c>
      <c r="F46" s="93">
        <f>'3o TRIMESTRE'!F46</f>
        <v>0</v>
      </c>
      <c r="G46" s="19" t="str">
        <f>'3o TRIMESTRE'!G46</f>
        <v>23.742.620/0001-00</v>
      </c>
      <c r="H46" s="19" t="str">
        <f>'3o TRIMESTRE'!H46</f>
        <v>INSTTALE ENGENHARIA LTDA</v>
      </c>
      <c r="I46" s="17" t="str">
        <f>'3o TRIMESTRE'!I46</f>
        <v>6-029/20</v>
      </c>
      <c r="J46" s="35">
        <f>'3o TRIMESTRE'!J46</f>
        <v>44105</v>
      </c>
      <c r="K46" s="17">
        <f>'3o TRIMESTRE'!K46</f>
        <v>760</v>
      </c>
      <c r="L46" s="93">
        <f>'3o TRIMESTRE'!L46</f>
        <v>6329253.0300000003</v>
      </c>
      <c r="M46" s="35">
        <f t="shared" si="0"/>
        <v>44865</v>
      </c>
      <c r="N46" s="17">
        <f>'3o TRIMESTRE'!N46</f>
        <v>0</v>
      </c>
      <c r="O46" s="93">
        <f>'3o TRIMESTRE'!O46</f>
        <v>0</v>
      </c>
      <c r="P46" s="93">
        <f>'3o TRIMESTRE'!P46</f>
        <v>707143.97</v>
      </c>
      <c r="Q46" s="17" t="str">
        <f>'3o TRIMESTRE'!Q46</f>
        <v>3.3.90.39</v>
      </c>
      <c r="R46" s="93">
        <f>'3o TRIMESTRE'!R46+4126518.34</f>
        <v>20322168.439999998</v>
      </c>
      <c r="S46" s="93">
        <v>4428893.25</v>
      </c>
      <c r="T46" s="93">
        <f>'3o TRIMESTRE'!T46+S46</f>
        <v>9060379.1799999997</v>
      </c>
      <c r="U46" s="93" t="e">
        <f>'3o TRIMESTRE'!U46+S46</f>
        <v>#REF!</v>
      </c>
      <c r="V46" s="19" t="s">
        <v>190</v>
      </c>
      <c r="W46" s="10" t="e">
        <f t="shared" si="1"/>
        <v>#REF!</v>
      </c>
      <c r="X46" s="111">
        <v>8524219.4900000021</v>
      </c>
      <c r="Y46" s="37" t="e">
        <f>W46+X46</f>
        <v>#REF!</v>
      </c>
      <c r="Z46" s="37"/>
      <c r="AA46" s="42" t="str">
        <f t="shared" si="2"/>
        <v>verdadeiro</v>
      </c>
    </row>
    <row r="47" spans="1:29" ht="42.9">
      <c r="A47" s="19" t="str">
        <f>'3o TRIMESTRE'!A47</f>
        <v>CONCORRÊNCIA Licitação: 16/2020</v>
      </c>
      <c r="B47" s="19" t="str">
        <f>'3o TRIMESTRE'!B47</f>
        <v>EXECUÇÃO DE SERVIÇOS DE REQUALIFICAÇÃO MANUTENÇÃO PREVENTIVA E CORRETIVA DE PRAÇAS, PARQUES E ÁREAS VERDES CANTEIROS DE AVENIDAS E REFÚGIOS DA CIDADE DO RECIFE RPAS 4,5 E 6</v>
      </c>
      <c r="C47" s="19">
        <v>0</v>
      </c>
      <c r="D47" s="19">
        <f>'3o TRIMESTRE'!D47</f>
        <v>0</v>
      </c>
      <c r="E47" s="93">
        <f>'3o TRIMESTRE'!E47</f>
        <v>0</v>
      </c>
      <c r="F47" s="93">
        <f>'3o TRIMESTRE'!F47</f>
        <v>0</v>
      </c>
      <c r="G47" s="19" t="str">
        <f>'3o TRIMESTRE'!G47</f>
        <v>10.698.641/0001-15</v>
      </c>
      <c r="H47" s="19" t="str">
        <f>'3o TRIMESTRE'!H47</f>
        <v>CONSTRUTORA MASTER EIRELI ME</v>
      </c>
      <c r="I47" s="17" t="str">
        <f>'3o TRIMESTRE'!I47</f>
        <v>6-029/21</v>
      </c>
      <c r="J47" s="35">
        <f>'3o TRIMESTRE'!J47</f>
        <v>44391</v>
      </c>
      <c r="K47" s="17">
        <f>'3o TRIMESTRE'!K47</f>
        <v>790</v>
      </c>
      <c r="L47" s="93">
        <f>'3o TRIMESTRE'!L47</f>
        <v>6400029.5199999996</v>
      </c>
      <c r="M47" s="35">
        <f t="shared" si="0"/>
        <v>45181</v>
      </c>
      <c r="N47" s="17">
        <f>'3o TRIMESTRE'!N47</f>
        <v>0</v>
      </c>
      <c r="O47" s="93">
        <f>'3o TRIMESTRE'!O47</f>
        <v>1321148.75</v>
      </c>
      <c r="P47" s="93">
        <f>'3o TRIMESTRE'!P47</f>
        <v>0</v>
      </c>
      <c r="Q47" s="17" t="str">
        <f>'3o TRIMESTRE'!Q47</f>
        <v>3.3.90.39</v>
      </c>
      <c r="R47" s="93">
        <f>'3o TRIMESTRE'!R47+1545413.02</f>
        <v>5095990.4600000009</v>
      </c>
      <c r="S47" s="93">
        <v>1924844.6400000001</v>
      </c>
      <c r="T47" s="93">
        <f>'3o TRIMESTRE'!T47+S47</f>
        <v>4340354.18</v>
      </c>
      <c r="U47" s="93" t="e">
        <f>'3o TRIMESTRE'!U47+S47</f>
        <v>#REF!</v>
      </c>
      <c r="V47" s="19" t="str">
        <f>'3o TRIMESTRE'!V47</f>
        <v>andamento</v>
      </c>
      <c r="W47" s="10" t="e">
        <f t="shared" si="1"/>
        <v>#REF!</v>
      </c>
      <c r="X47" s="109"/>
      <c r="Y47" s="10"/>
      <c r="Z47" s="37"/>
      <c r="AA47" s="42" t="str">
        <f t="shared" si="2"/>
        <v>verdadeiro</v>
      </c>
    </row>
    <row r="48" spans="1:29" ht="21.45">
      <c r="A48" s="19" t="str">
        <f>'3o TRIMESTRE'!A48</f>
        <v>CONCORRÊNCIA Licitação: 2/2020</v>
      </c>
      <c r="B48" s="19" t="str">
        <f>'3o TRIMESTRE'!B48</f>
        <v>CONTRATAÇÃO DOS SERVIÇOS DE MANUTENÇÃO CORRETIVA DO SISTEMA VIÁRIO DO RECIFE RPA 02 E 03</v>
      </c>
      <c r="C48" s="19">
        <v>0</v>
      </c>
      <c r="D48" s="19">
        <f>'3o TRIMESTRE'!D48</f>
        <v>0</v>
      </c>
      <c r="E48" s="93">
        <f>'3o TRIMESTRE'!E48</f>
        <v>0</v>
      </c>
      <c r="F48" s="93">
        <f>'3o TRIMESTRE'!F48</f>
        <v>0</v>
      </c>
      <c r="G48" s="19" t="str">
        <f>'3o TRIMESTRE'!G48</f>
        <v>00.999.591/0001-52</v>
      </c>
      <c r="H48" s="19" t="str">
        <f>'3o TRIMESTRE'!H48</f>
        <v xml:space="preserve">AGC CONSTRUTORA E EMPREENDIMENTOS LTDA                      </v>
      </c>
      <c r="I48" s="17" t="str">
        <f>'3o TRIMESTRE'!I48</f>
        <v>6-030/20</v>
      </c>
      <c r="J48" s="35">
        <f>'3o TRIMESTRE'!J48</f>
        <v>44130</v>
      </c>
      <c r="K48" s="17">
        <f>'3o TRIMESTRE'!K48</f>
        <v>760</v>
      </c>
      <c r="L48" s="93">
        <f>'3o TRIMESTRE'!L48</f>
        <v>9905518.1799999997</v>
      </c>
      <c r="M48" s="35">
        <f t="shared" si="0"/>
        <v>44890</v>
      </c>
      <c r="N48" s="17">
        <f>'3o TRIMESTRE'!N48</f>
        <v>0</v>
      </c>
      <c r="O48" s="93">
        <f>'3o TRIMESTRE'!O48</f>
        <v>100704.67</v>
      </c>
      <c r="P48" s="93">
        <f>'3o TRIMESTRE'!P48</f>
        <v>1135184.8</v>
      </c>
      <c r="Q48" s="17" t="str">
        <f>'3o TRIMESTRE'!Q48</f>
        <v>3.3.90.39</v>
      </c>
      <c r="R48" s="93">
        <f>'3o TRIMESTRE'!R48</f>
        <v>5811516.5199999996</v>
      </c>
      <c r="S48" s="93">
        <v>0</v>
      </c>
      <c r="T48" s="93">
        <f>'3o TRIMESTRE'!T48+S48</f>
        <v>543187.5</v>
      </c>
      <c r="U48" s="93" t="e">
        <f>'3o TRIMESTRE'!U48+S48</f>
        <v>#REF!</v>
      </c>
      <c r="V48" s="19" t="s">
        <v>190</v>
      </c>
      <c r="W48" s="10" t="e">
        <f t="shared" si="1"/>
        <v>#REF!</v>
      </c>
      <c r="X48" s="109"/>
      <c r="Y48" s="37"/>
      <c r="Z48" s="37"/>
      <c r="AA48" s="42" t="str">
        <f t="shared" si="2"/>
        <v>verdadeiro</v>
      </c>
    </row>
    <row r="49" spans="1:28" ht="21.45">
      <c r="A49" s="19" t="str">
        <f>'3o TRIMESTRE'!A49</f>
        <v>CONCORRÊNCIA Licitação: 2/2020</v>
      </c>
      <c r="B49" s="19" t="str">
        <f>'3o TRIMESTRE'!B49</f>
        <v>CONTRATAÇÃO DOS SERVIÇOS DE MANUTENÇÃO CORRETIVA DO SISTEMA VIÁRIO DO RECIFE RPA 04 E 05</v>
      </c>
      <c r="C49" s="19">
        <v>0</v>
      </c>
      <c r="D49" s="19">
        <f>'3o TRIMESTRE'!D49</f>
        <v>0</v>
      </c>
      <c r="E49" s="93">
        <f>'3o TRIMESTRE'!E49</f>
        <v>0</v>
      </c>
      <c r="F49" s="93">
        <f>'3o TRIMESTRE'!F49</f>
        <v>0</v>
      </c>
      <c r="G49" s="19" t="str">
        <f>'3o TRIMESTRE'!G49</f>
        <v>23.742.620/0001-00</v>
      </c>
      <c r="H49" s="19" t="str">
        <f>'3o TRIMESTRE'!H49</f>
        <v>INSTTALE ENGENHARIA LTDA</v>
      </c>
      <c r="I49" s="17" t="str">
        <f>'3o TRIMESTRE'!I49</f>
        <v>6-031/20</v>
      </c>
      <c r="J49" s="35">
        <f>'3o TRIMESTRE'!J49</f>
        <v>44130</v>
      </c>
      <c r="K49" s="17">
        <f>'3o TRIMESTRE'!K49</f>
        <v>760</v>
      </c>
      <c r="L49" s="93">
        <f>'3o TRIMESTRE'!L49</f>
        <v>12232966.380000001</v>
      </c>
      <c r="M49" s="35">
        <f t="shared" si="0"/>
        <v>45255</v>
      </c>
      <c r="N49" s="17">
        <f>'3o TRIMESTRE'!N49</f>
        <v>365</v>
      </c>
      <c r="O49" s="93">
        <f>'3o TRIMESTRE'!O49</f>
        <v>15079505.24</v>
      </c>
      <c r="P49" s="93">
        <f>'3o TRIMESTRE'!P49</f>
        <v>1362845.01</v>
      </c>
      <c r="Q49" s="17" t="str">
        <f>'3o TRIMESTRE'!Q49</f>
        <v>3.3.90.39</v>
      </c>
      <c r="R49" s="93">
        <f>'3o TRIMESTRE'!R49+3753102.95</f>
        <v>14102582.219999999</v>
      </c>
      <c r="S49" s="93">
        <v>3753102.95</v>
      </c>
      <c r="T49" s="93">
        <f>'3o TRIMESTRE'!T49+S49</f>
        <v>6724004.21</v>
      </c>
      <c r="U49" s="93" t="e">
        <f>'3o TRIMESTRE'!U49+S49</f>
        <v>#REF!</v>
      </c>
      <c r="V49" s="19" t="str">
        <f>'3o TRIMESTRE'!V49</f>
        <v>andamento</v>
      </c>
      <c r="W49" s="10" t="e">
        <f t="shared" si="1"/>
        <v>#REF!</v>
      </c>
      <c r="X49" s="109"/>
      <c r="Y49" s="37"/>
      <c r="Z49" s="37"/>
      <c r="AA49" s="42" t="str">
        <f t="shared" si="2"/>
        <v>verdadeiro</v>
      </c>
    </row>
    <row r="50" spans="1:28" ht="21.45">
      <c r="A50" s="19" t="str">
        <f>'3o TRIMESTRE'!A50</f>
        <v>CONCORRÊNCIA Licitação: 2/2020</v>
      </c>
      <c r="B50" s="19" t="str">
        <f>'3o TRIMESTRE'!B50</f>
        <v>CONTRATAÇÃO DOS SERVIÇOS DE MANUTENÇÃO CORRETIVA DO SISTEMA VIÁRIO DO RECIFE RPA 06</v>
      </c>
      <c r="C50" s="19">
        <v>0</v>
      </c>
      <c r="D50" s="19">
        <f>'3o TRIMESTRE'!D50</f>
        <v>0</v>
      </c>
      <c r="E50" s="93">
        <f>'3o TRIMESTRE'!E50</f>
        <v>0</v>
      </c>
      <c r="F50" s="93">
        <f>'3o TRIMESTRE'!F50</f>
        <v>0</v>
      </c>
      <c r="G50" s="19" t="str">
        <f>'3o TRIMESTRE'!G50</f>
        <v>40.882.060/0001-08</v>
      </c>
      <c r="H50" s="19" t="str">
        <f>'3o TRIMESTRE'!H50</f>
        <v>LIDERMAC CONSTRUCOES E EQUIPAMENTOS LTDA</v>
      </c>
      <c r="I50" s="17" t="str">
        <f>'3o TRIMESTRE'!I50</f>
        <v>6-032/20</v>
      </c>
      <c r="J50" s="35">
        <f>'3o TRIMESTRE'!J50</f>
        <v>44130</v>
      </c>
      <c r="K50" s="17">
        <f>'3o TRIMESTRE'!K50</f>
        <v>760</v>
      </c>
      <c r="L50" s="93">
        <f>'3o TRIMESTRE'!L50</f>
        <v>10773413.109999999</v>
      </c>
      <c r="M50" s="35">
        <f t="shared" si="0"/>
        <v>44890</v>
      </c>
      <c r="N50" s="17">
        <f>'3o TRIMESTRE'!N50</f>
        <v>0</v>
      </c>
      <c r="O50" s="93">
        <f>'3o TRIMESTRE'!O50</f>
        <v>0</v>
      </c>
      <c r="P50" s="93">
        <f>'3o TRIMESTRE'!P50</f>
        <v>3401715.99</v>
      </c>
      <c r="Q50" s="17" t="str">
        <f>'3o TRIMESTRE'!Q50</f>
        <v>3.3.90.39</v>
      </c>
      <c r="R50" s="93">
        <f>'3o TRIMESTRE'!R50+412119.17</f>
        <v>5198530.38</v>
      </c>
      <c r="S50" s="93">
        <v>412119.17</v>
      </c>
      <c r="T50" s="93">
        <f>'3o TRIMESTRE'!T50+S50</f>
        <v>691043.41999999993</v>
      </c>
      <c r="U50" s="93" t="e">
        <f>'3o TRIMESTRE'!U50+S50</f>
        <v>#REF!</v>
      </c>
      <c r="V50" s="19" t="str">
        <f>'3o TRIMESTRE'!V50</f>
        <v>andamento</v>
      </c>
      <c r="W50" s="10" t="e">
        <f t="shared" si="1"/>
        <v>#REF!</v>
      </c>
      <c r="X50" s="109"/>
      <c r="Y50" s="37"/>
      <c r="Z50" s="37"/>
      <c r="AA50" s="42" t="str">
        <f t="shared" si="2"/>
        <v>verdadeiro</v>
      </c>
    </row>
    <row r="51" spans="1:28" ht="42.9">
      <c r="A51" s="19" t="str">
        <f>'3o TRIMESTRE'!A51</f>
        <v>Tomada de Preço Licitação: 003/2021</v>
      </c>
      <c r="B51" s="19" t="str">
        <f>'3o TRIMESTRE'!B51</f>
        <v>CONTRATAÇÃO DE EMPRESA DE DE ENGENHARIA ESPECIALIZADA EM ILUMINAÇÃO PUBLICA. PARA INSTALAÇÃO DE LUMINÁRIAS/PROJETORES COM TECNOLOGIA LED NA CIDADE DO RECIFE/PE COM FORNECIMENTO DE ACESSÓRIOS</v>
      </c>
      <c r="C51" s="19">
        <v>0</v>
      </c>
      <c r="D51" s="19" t="str">
        <f>'3o TRIMESTRE'!D51</f>
        <v>FINISA</v>
      </c>
      <c r="E51" s="93">
        <f>'3o TRIMESTRE'!E51</f>
        <v>50000000</v>
      </c>
      <c r="F51" s="93">
        <f>'3o TRIMESTRE'!F51</f>
        <v>0</v>
      </c>
      <c r="G51" s="19" t="str">
        <f>'3o TRIMESTRE'!G51</f>
        <v>01.346.561/0001-00</v>
      </c>
      <c r="H51" s="19" t="str">
        <f>'3o TRIMESTRE'!H51</f>
        <v>VASCONCELOS E SANTOS LTDA</v>
      </c>
      <c r="I51" s="17" t="str">
        <f>'3o TRIMESTRE'!I51</f>
        <v>6-037/21</v>
      </c>
      <c r="J51" s="35">
        <f>'3o TRIMESTRE'!J51</f>
        <v>44495</v>
      </c>
      <c r="K51" s="17">
        <f>'3o TRIMESTRE'!K51</f>
        <v>395</v>
      </c>
      <c r="L51" s="93">
        <f>'3o TRIMESTRE'!L51</f>
        <v>1048809.3999999999</v>
      </c>
      <c r="M51" s="35">
        <f t="shared" si="0"/>
        <v>44890</v>
      </c>
      <c r="N51" s="17">
        <f>'3o TRIMESTRE'!N51</f>
        <v>0</v>
      </c>
      <c r="O51" s="93">
        <f>'3o TRIMESTRE'!O51</f>
        <v>0</v>
      </c>
      <c r="P51" s="93">
        <f>'3o TRIMESTRE'!P51</f>
        <v>0</v>
      </c>
      <c r="Q51" s="17" t="str">
        <f>'3o TRIMESTRE'!Q51</f>
        <v>4.4.90.39</v>
      </c>
      <c r="R51" s="93">
        <f>'3o TRIMESTRE'!R51+770331.38</f>
        <v>2660756.2599999998</v>
      </c>
      <c r="S51" s="93">
        <v>1090822.8599999999</v>
      </c>
      <c r="T51" s="93">
        <f>'3o TRIMESTRE'!T51+S51</f>
        <v>2458209.5</v>
      </c>
      <c r="U51" s="93" t="e">
        <f>'3o TRIMESTRE'!U51+S51</f>
        <v>#REF!</v>
      </c>
      <c r="V51" s="19" t="str">
        <f>'3o TRIMESTRE'!V51</f>
        <v>andamento</v>
      </c>
      <c r="W51" s="10" t="e">
        <f t="shared" si="1"/>
        <v>#REF!</v>
      </c>
      <c r="X51" s="109"/>
      <c r="Y51" s="37"/>
      <c r="Z51" s="37"/>
      <c r="AA51" s="42" t="str">
        <f t="shared" si="2"/>
        <v>verdadeiro</v>
      </c>
    </row>
    <row r="52" spans="1:28" ht="32.15">
      <c r="A52" s="19" t="str">
        <f>'3o TRIMESTRE'!A52</f>
        <v>Tomada de Preço Licitação: 004/2021</v>
      </c>
      <c r="B52" s="19" t="str">
        <f>'3o TRIMESTRE'!B52</f>
        <v>CONTRATACAO DE EMPRESA DE ENGENHARIA PARA PRESTACAO DOS SERVICOS DE MANUTENCAO DO ENROCAMENTO DE PEDRAS DA PROTECAO EXISTENTE NA ORLA DE BOA VIAGEM</v>
      </c>
      <c r="C52" s="19">
        <v>0</v>
      </c>
      <c r="D52" s="19">
        <f>'3o TRIMESTRE'!D52</f>
        <v>0</v>
      </c>
      <c r="E52" s="93">
        <f>'3o TRIMESTRE'!E52</f>
        <v>0</v>
      </c>
      <c r="F52" s="93">
        <f>'3o TRIMESTRE'!F52</f>
        <v>0</v>
      </c>
      <c r="G52" s="19" t="str">
        <f>'3o TRIMESTRE'!G52</f>
        <v>70.086.111/0001-48</v>
      </c>
      <c r="H52" s="19" t="str">
        <f>'3o TRIMESTRE'!H52</f>
        <v>COASTAL - CONSTRUÇÕES E SOLUÇÕES TÉCNICAS AMBIENTAIS EIRELI</v>
      </c>
      <c r="I52" s="17" t="str">
        <f>'3o TRIMESTRE'!I52</f>
        <v>6-039/21</v>
      </c>
      <c r="J52" s="35">
        <f>'3o TRIMESTRE'!J52</f>
        <v>44455</v>
      </c>
      <c r="K52" s="17">
        <f>'3o TRIMESTRE'!K52</f>
        <v>455</v>
      </c>
      <c r="L52" s="93">
        <f>'3o TRIMESTRE'!L52</f>
        <v>1460562.75</v>
      </c>
      <c r="M52" s="35">
        <f t="shared" si="0"/>
        <v>44910</v>
      </c>
      <c r="N52" s="17">
        <f>'3o TRIMESTRE'!N52</f>
        <v>0</v>
      </c>
      <c r="O52" s="93">
        <f>'3o TRIMESTRE'!O52</f>
        <v>225202.39</v>
      </c>
      <c r="P52" s="93">
        <f>'3o TRIMESTRE'!P52</f>
        <v>0</v>
      </c>
      <c r="Q52" s="17" t="str">
        <f>'3o TRIMESTRE'!Q52</f>
        <v>3.3.90.39</v>
      </c>
      <c r="R52" s="93">
        <f>'3o TRIMESTRE'!R52</f>
        <v>609894.82000000007</v>
      </c>
      <c r="S52" s="93">
        <v>0</v>
      </c>
      <c r="T52" s="93">
        <f>'3o TRIMESTRE'!T52+S52</f>
        <v>259258.04</v>
      </c>
      <c r="U52" s="93" t="e">
        <f>'3o TRIMESTRE'!U52+S52</f>
        <v>#REF!</v>
      </c>
      <c r="V52" s="19" t="s">
        <v>190</v>
      </c>
      <c r="W52" s="10" t="e">
        <f t="shared" si="1"/>
        <v>#REF!</v>
      </c>
      <c r="X52" s="109"/>
      <c r="Y52" s="37"/>
      <c r="Z52" s="37"/>
      <c r="AA52" s="42" t="str">
        <f t="shared" si="2"/>
        <v>verdadeiro</v>
      </c>
      <c r="AB52" s="46"/>
    </row>
    <row r="53" spans="1:28" ht="32.15">
      <c r="A53" s="19" t="str">
        <f>'3o TRIMESTRE'!A53</f>
        <v>Concorrência Licitação: 009/2021</v>
      </c>
      <c r="B53" s="19" t="str">
        <f>'3o TRIMESTRE'!B53</f>
        <v>EXECUÇÃO DE SERVIÇOS DE RECUPERAÇÃO DE PASSARELAS, PONTILHÕES E ELEMENTOS LIMITADORES DE ESPAÇO OU PROTEÇÃO NAS DIVERSAS RPAS DA CIDADE DO RECIFE</v>
      </c>
      <c r="C53" s="19" t="s">
        <v>155</v>
      </c>
      <c r="D53" s="19">
        <f>'3o TRIMESTRE'!D53</f>
        <v>0</v>
      </c>
      <c r="E53" s="93">
        <f>'3o TRIMESTRE'!E53+15823300.23</f>
        <v>15823300.23</v>
      </c>
      <c r="F53" s="93">
        <f>'3o TRIMESTRE'!F53</f>
        <v>0</v>
      </c>
      <c r="G53" s="19" t="str">
        <f>'3o TRIMESTRE'!G53</f>
        <v>10.811.370/0001-62</v>
      </c>
      <c r="H53" s="19" t="str">
        <f>'3o TRIMESTRE'!H53</f>
        <v>GUERRA CONSTRUCOES LTDA</v>
      </c>
      <c r="I53" s="17" t="str">
        <f>'3o TRIMESTRE'!I53</f>
        <v>6-042/21</v>
      </c>
      <c r="J53" s="35">
        <f>'3o TRIMESTRE'!J53</f>
        <v>44516</v>
      </c>
      <c r="K53" s="17">
        <f>'3o TRIMESTRE'!K53</f>
        <v>790</v>
      </c>
      <c r="L53" s="93">
        <f>'3o TRIMESTRE'!L53</f>
        <v>4874717.78</v>
      </c>
      <c r="M53" s="35">
        <f t="shared" si="0"/>
        <v>45306</v>
      </c>
      <c r="N53" s="17">
        <f>'3o TRIMESTRE'!N53</f>
        <v>0</v>
      </c>
      <c r="O53" s="93">
        <f>'3o TRIMESTRE'!O53</f>
        <v>0</v>
      </c>
      <c r="P53" s="93">
        <f>'3o TRIMESTRE'!P53</f>
        <v>0</v>
      </c>
      <c r="Q53" s="17" t="str">
        <f>'3o TRIMESTRE'!Q53</f>
        <v>3.3.90.39</v>
      </c>
      <c r="R53" s="93">
        <f>'3o TRIMESTRE'!R53</f>
        <v>2103769.5699999998</v>
      </c>
      <c r="S53" s="93"/>
      <c r="T53" s="93">
        <f>'3o TRIMESTRE'!T53+S53</f>
        <v>955134.58</v>
      </c>
      <c r="U53" s="93" t="e">
        <f>'3o TRIMESTRE'!U53+S53</f>
        <v>#REF!</v>
      </c>
      <c r="V53" s="19" t="str">
        <f>'3o TRIMESTRE'!V53</f>
        <v>andamento</v>
      </c>
      <c r="W53" s="10" t="e">
        <f t="shared" si="1"/>
        <v>#REF!</v>
      </c>
      <c r="X53" s="109"/>
      <c r="Y53" s="37"/>
      <c r="Z53" s="37"/>
      <c r="AA53" s="42" t="str">
        <f t="shared" si="2"/>
        <v>verdadeiro</v>
      </c>
    </row>
    <row r="54" spans="1:28" ht="53.6">
      <c r="A54" s="19" t="str">
        <f>'3o TRIMESTRE'!A54</f>
        <v>TOMADA DE PREÇOS / 005/2020</v>
      </c>
      <c r="B54" s="19" t="str">
        <f>'3o TRIMESTRE'!B54</f>
        <v>CONTRATACAO DE DE EMPRESA DE ENGENHARIA PARA EXECUCAO DE SERVICOS DE MANUTENCAO DE FONTES. COM BOMBAS CENTRIFUGAS DE 5 A 25 CV. ILUMINACAO ESPECIAL E OPERACAO AUTOMATIZADA POR QUADRO DE COMANDO INTERRUPTO HORARIO</v>
      </c>
      <c r="C54" s="19">
        <v>0</v>
      </c>
      <c r="D54" s="19">
        <f>'3o TRIMESTRE'!D54</f>
        <v>0</v>
      </c>
      <c r="E54" s="93">
        <f>'3o TRIMESTRE'!E54</f>
        <v>0</v>
      </c>
      <c r="F54" s="93">
        <f>'3o TRIMESTRE'!F54</f>
        <v>0</v>
      </c>
      <c r="G54" s="19" t="str">
        <f>'3o TRIMESTRE'!G54</f>
        <v>06.157.352/0001-31</v>
      </c>
      <c r="H54" s="19" t="str">
        <f>'3o TRIMESTRE'!H54</f>
        <v>ROBERTO &amp; JAIR COMÉRCIO E SERVIÇOS LTDA-ME</v>
      </c>
      <c r="I54" s="17" t="str">
        <f>'3o TRIMESTRE'!I54</f>
        <v>6-043/20</v>
      </c>
      <c r="J54" s="35">
        <f>'3o TRIMESTRE'!J54</f>
        <v>44138</v>
      </c>
      <c r="K54" s="17">
        <f>'3o TRIMESTRE'!K54</f>
        <v>760</v>
      </c>
      <c r="L54" s="93">
        <f>'3o TRIMESTRE'!L54</f>
        <v>536156.1</v>
      </c>
      <c r="M54" s="35">
        <f t="shared" si="0"/>
        <v>44898</v>
      </c>
      <c r="N54" s="17">
        <f>'3o TRIMESTRE'!N54</f>
        <v>0</v>
      </c>
      <c r="O54" s="93">
        <f>'3o TRIMESTRE'!O54</f>
        <v>82719.179999999993</v>
      </c>
      <c r="P54" s="93">
        <f>'3o TRIMESTRE'!P54</f>
        <v>0</v>
      </c>
      <c r="Q54" s="17" t="str">
        <f>'3o TRIMESTRE'!Q54</f>
        <v>3.3.90.39</v>
      </c>
      <c r="R54" s="93">
        <f>'3o TRIMESTRE'!R54</f>
        <v>415293.33</v>
      </c>
      <c r="S54" s="93">
        <v>0</v>
      </c>
      <c r="T54" s="93">
        <f>'3o TRIMESTRE'!T54+S54</f>
        <v>49382.99</v>
      </c>
      <c r="U54" s="93" t="e">
        <f>'3o TRIMESTRE'!U54+S54</f>
        <v>#REF!</v>
      </c>
      <c r="V54" s="19" t="s">
        <v>190</v>
      </c>
      <c r="W54" s="10" t="e">
        <f t="shared" si="1"/>
        <v>#REF!</v>
      </c>
      <c r="X54" s="109"/>
      <c r="Y54" s="37"/>
      <c r="Z54" s="37"/>
      <c r="AA54" s="42" t="str">
        <f t="shared" si="2"/>
        <v>verdadeiro</v>
      </c>
    </row>
    <row r="55" spans="1:28" ht="53.6">
      <c r="A55" s="19" t="str">
        <f>'3o TRIMESTRE'!A55</f>
        <v>CONCORRÊNCIA / nº 006/2020</v>
      </c>
      <c r="B55" s="19" t="str">
        <f>'3o TRIMESTRE'!B55</f>
        <v>CONTRATAÇÃO DE EMPRESA DE ENGENHARIA ESPECIALIZADA EM ILUMINAÇÃO PÚBLICA, PARA EXECUÇÃO DOS SERVIÇOS DE MANUTENÇÃO CONTÍNUA, CORRETIVA E PREVENTIVA, DO SISTEMA DE ILUMINAÇÃO PÚBLICA ESPECIAL DA CIDADE DO RECIFE, EM POSTES ACIMA DE 12 METROS DE ALTURA</v>
      </c>
      <c r="C55" s="19" t="s">
        <v>155</v>
      </c>
      <c r="D55" s="19">
        <f>'3o TRIMESTRE'!D55</f>
        <v>0</v>
      </c>
      <c r="E55" s="93">
        <f>'3o TRIMESTRE'!E55+15823300.23</f>
        <v>15823300.23</v>
      </c>
      <c r="F55" s="93">
        <f>'3o TRIMESTRE'!F55</f>
        <v>0</v>
      </c>
      <c r="G55" s="19" t="str">
        <f>'3o TRIMESTRE'!G55</f>
        <v>01.346.561/0001-00</v>
      </c>
      <c r="H55" s="19" t="str">
        <f>'3o TRIMESTRE'!H55</f>
        <v>VASCONCELOS E SANTOS LTDA</v>
      </c>
      <c r="I55" s="17" t="str">
        <f>'3o TRIMESTRE'!I55</f>
        <v>6-044/20</v>
      </c>
      <c r="J55" s="35">
        <f>'3o TRIMESTRE'!J55</f>
        <v>44162</v>
      </c>
      <c r="K55" s="17">
        <f>'3o TRIMESTRE'!K55</f>
        <v>790</v>
      </c>
      <c r="L55" s="93">
        <f>'3o TRIMESTRE'!L55</f>
        <v>1704583.5</v>
      </c>
      <c r="M55" s="35">
        <f t="shared" si="0"/>
        <v>44952</v>
      </c>
      <c r="N55" s="17">
        <f>'3o TRIMESTRE'!N55</f>
        <v>0</v>
      </c>
      <c r="O55" s="93">
        <f>'3o TRIMESTRE'!O55</f>
        <v>0</v>
      </c>
      <c r="P55" s="93">
        <f>'3o TRIMESTRE'!P55</f>
        <v>0</v>
      </c>
      <c r="Q55" s="17" t="str">
        <f>'3o TRIMESTRE'!Q55</f>
        <v>3.3.90.39</v>
      </c>
      <c r="R55" s="93">
        <f>'3o TRIMESTRE'!R55</f>
        <v>866191.14</v>
      </c>
      <c r="S55" s="93">
        <v>0</v>
      </c>
      <c r="T55" s="93">
        <f>'3o TRIMESTRE'!T55+S55</f>
        <v>168638.6</v>
      </c>
      <c r="U55" s="93" t="e">
        <f>'3o TRIMESTRE'!U55+S55</f>
        <v>#REF!</v>
      </c>
      <c r="V55" s="19" t="str">
        <f>'3o TRIMESTRE'!V55</f>
        <v>andamento</v>
      </c>
      <c r="W55" s="10" t="e">
        <f t="shared" si="1"/>
        <v>#REF!</v>
      </c>
      <c r="X55" s="109"/>
      <c r="Y55" s="37"/>
      <c r="Z55" s="37"/>
      <c r="AA55" s="42" t="str">
        <f t="shared" si="2"/>
        <v>verdadeiro</v>
      </c>
    </row>
    <row r="56" spans="1:28" ht="21.45">
      <c r="A56" s="19" t="str">
        <f>'3o TRIMESTRE'!A56</f>
        <v>DISP 004/2021</v>
      </c>
      <c r="B56" s="19" t="str">
        <f>'3o TRIMESTRE'!B56</f>
        <v>CONTRATACAO DE SERVICOS EM CARATER EMERGENCIAL DE COLETA E LIMPEZA URBANA - LOTE 2</v>
      </c>
      <c r="C56" s="19" t="s">
        <v>155</v>
      </c>
      <c r="D56" s="19">
        <f>'3o TRIMESTRE'!D56</f>
        <v>0</v>
      </c>
      <c r="E56" s="93">
        <f>'3o TRIMESTRE'!E56+15823300.23</f>
        <v>15823300.23</v>
      </c>
      <c r="F56" s="93">
        <f>'3o TRIMESTRE'!F56</f>
        <v>0</v>
      </c>
      <c r="G56" s="19" t="str">
        <f>'3o TRIMESTRE'!G56</f>
        <v>02.536.066/0015-21</v>
      </c>
      <c r="H56" s="19" t="str">
        <f>'3o TRIMESTRE'!H56</f>
        <v>VITAL ENGENHARIA AMBIENTAL S/A</v>
      </c>
      <c r="I56" s="17" t="str">
        <f>'3o TRIMESTRE'!I56</f>
        <v>6-044/21</v>
      </c>
      <c r="J56" s="35">
        <f>'3o TRIMESTRE'!J56</f>
        <v>44469</v>
      </c>
      <c r="K56" s="17">
        <f>'3o TRIMESTRE'!K56</f>
        <v>180</v>
      </c>
      <c r="L56" s="93">
        <f>'3o TRIMESTRE'!L56</f>
        <v>76577831.530000001</v>
      </c>
      <c r="M56" s="35">
        <f t="shared" si="0"/>
        <v>44724</v>
      </c>
      <c r="N56" s="17">
        <f>'3o TRIMESTRE'!N56+75</f>
        <v>75</v>
      </c>
      <c r="O56" s="93">
        <f>'3o TRIMESTRE'!O56+45293.3</f>
        <v>45293.3</v>
      </c>
      <c r="P56" s="93">
        <f>'3o TRIMESTRE'!P56</f>
        <v>4813284.33</v>
      </c>
      <c r="Q56" s="17" t="str">
        <f>'3o TRIMESTRE'!Q56</f>
        <v>3.3.90.39</v>
      </c>
      <c r="R56" s="93">
        <f>'3o TRIMESTRE'!R56+538484.02</f>
        <v>64818819.870000005</v>
      </c>
      <c r="S56" s="93">
        <v>84805.27</v>
      </c>
      <c r="T56" s="93">
        <f>'3o TRIMESTRE'!T56+S56</f>
        <v>38951519.099999994</v>
      </c>
      <c r="U56" s="93" t="e">
        <f>'3o TRIMESTRE'!U56+S56</f>
        <v>#REF!</v>
      </c>
      <c r="V56" s="19" t="str">
        <f>'3o TRIMESTRE'!V56</f>
        <v>andamento</v>
      </c>
      <c r="W56" s="10" t="e">
        <f t="shared" si="1"/>
        <v>#REF!</v>
      </c>
      <c r="X56" s="109">
        <v>538484.02</v>
      </c>
      <c r="Y56" s="37" t="e">
        <f>W56+X56</f>
        <v>#REF!</v>
      </c>
      <c r="Z56" s="37" t="s">
        <v>109</v>
      </c>
      <c r="AA56" s="42" t="str">
        <f t="shared" si="2"/>
        <v>verdadeiro</v>
      </c>
    </row>
    <row r="57" spans="1:28" ht="42.9">
      <c r="A57" s="19" t="str">
        <f>'3o TRIMESTRE'!A57</f>
        <v>Pregão Eletrônico Licitação: 031/2021</v>
      </c>
      <c r="B57" s="19" t="str">
        <f>'3o TRIMESTRE'!B57</f>
        <v>CONTRATAÇÃO DE EMPRESA DE ENGENHARIA NA ÁREA DE GEOTÉCNIA PARA ENSAIO DE PENETRAÇÃO DE UM CONE ESTÁTICO DE AÇO COM MEDIDAS DE PRESSÕES NEUTRAS CPTU CONFORME PROCEDIMENTOS DA NORMA ASTM D 5778 95</v>
      </c>
      <c r="C57" s="19" t="s">
        <v>154</v>
      </c>
      <c r="D57" s="19">
        <f>'3o TRIMESTRE'!D57</f>
        <v>0</v>
      </c>
      <c r="E57" s="93">
        <f>'3o TRIMESTRE'!E57</f>
        <v>0</v>
      </c>
      <c r="F57" s="93">
        <f>'3o TRIMESTRE'!F57</f>
        <v>0</v>
      </c>
      <c r="G57" s="19" t="str">
        <f>'3o TRIMESTRE'!G57</f>
        <v>18.968.880/0001-50</v>
      </c>
      <c r="H57" s="19" t="str">
        <f>'3o TRIMESTRE'!H57</f>
        <v>A1MC PROJETOS LTDA</v>
      </c>
      <c r="I57" s="17" t="str">
        <f>'3o TRIMESTRE'!I57</f>
        <v>6-045/21</v>
      </c>
      <c r="J57" s="35">
        <f>'3o TRIMESTRE'!J57</f>
        <v>44523</v>
      </c>
      <c r="K57" s="17">
        <f>'3o TRIMESTRE'!K57</f>
        <v>60</v>
      </c>
      <c r="L57" s="93">
        <f>'3o TRIMESTRE'!L57</f>
        <v>100000</v>
      </c>
      <c r="M57" s="35">
        <f t="shared" si="0"/>
        <v>44583</v>
      </c>
      <c r="N57" s="17">
        <f>'3o TRIMESTRE'!N57</f>
        <v>0</v>
      </c>
      <c r="O57" s="93">
        <f>'3o TRIMESTRE'!O57</f>
        <v>8966.94</v>
      </c>
      <c r="P57" s="93">
        <f>'3o TRIMESTRE'!P57</f>
        <v>0</v>
      </c>
      <c r="Q57" s="17" t="str">
        <f>'3o TRIMESTRE'!Q57</f>
        <v>3.3.90.39</v>
      </c>
      <c r="R57" s="93">
        <f>'3o TRIMESTRE'!R57</f>
        <v>108966.93000000001</v>
      </c>
      <c r="S57" s="93"/>
      <c r="T57" s="93">
        <f>'3o TRIMESTRE'!T57+S57</f>
        <v>45018.95</v>
      </c>
      <c r="U57" s="93" t="e">
        <f>'3o TRIMESTRE'!U57+S57</f>
        <v>#REF!</v>
      </c>
      <c r="V57" s="19" t="str">
        <f>'3o TRIMESTRE'!V57</f>
        <v>encerrado</v>
      </c>
      <c r="W57" s="10" t="e">
        <f t="shared" si="1"/>
        <v>#REF!</v>
      </c>
      <c r="X57" s="109"/>
      <c r="Y57" s="37"/>
      <c r="Z57" s="37"/>
      <c r="AA57" s="42" t="str">
        <f t="shared" si="2"/>
        <v>verdadeiro</v>
      </c>
    </row>
    <row r="58" spans="1:28" ht="21.45">
      <c r="A58" s="19" t="str">
        <f>'3o TRIMESTRE'!A58</f>
        <v>CONCORRÊNCIA Licitação: 19/2019</v>
      </c>
      <c r="B58" s="19" t="str">
        <f>'3o TRIMESTRE'!B58</f>
        <v>SERVIÇOS DE MANUTENÇÃO DO SISTEMA DE MICRODRENAGEM DAS AGUAS PLUVIAIS DO MUNICIPIO DO RECIFE RPA 1</v>
      </c>
      <c r="C58" s="19" t="s">
        <v>155</v>
      </c>
      <c r="D58" s="19">
        <f>'3o TRIMESTRE'!D58</f>
        <v>0</v>
      </c>
      <c r="E58" s="93">
        <f>'3o TRIMESTRE'!E58+15823300.23</f>
        <v>15823300.23</v>
      </c>
      <c r="F58" s="93">
        <f>'3o TRIMESTRE'!F58</f>
        <v>0</v>
      </c>
      <c r="G58" s="19" t="str">
        <f>'3o TRIMESTRE'!G58</f>
        <v>07.086.088/0001-55</v>
      </c>
      <c r="H58" s="19" t="str">
        <f>'3o TRIMESTRE'!H58</f>
        <v>SOLO CONSTRUCOES E TERRAPLANAGEM LTDA</v>
      </c>
      <c r="I58" s="17" t="str">
        <f>'3o TRIMESTRE'!I58</f>
        <v>6-048/20</v>
      </c>
      <c r="J58" s="35">
        <f>'3o TRIMESTRE'!J58</f>
        <v>44168</v>
      </c>
      <c r="K58" s="17">
        <f>'3o TRIMESTRE'!K58</f>
        <v>1125</v>
      </c>
      <c r="L58" s="93">
        <f>'3o TRIMESTRE'!L58</f>
        <v>16571981.609999999</v>
      </c>
      <c r="M58" s="35">
        <f t="shared" si="0"/>
        <v>45293</v>
      </c>
      <c r="N58" s="17">
        <f>'3o TRIMESTRE'!N58</f>
        <v>0</v>
      </c>
      <c r="O58" s="93">
        <f>'3o TRIMESTRE'!O58</f>
        <v>0</v>
      </c>
      <c r="P58" s="93">
        <f>'3o TRIMESTRE'!P58</f>
        <v>3759599.49</v>
      </c>
      <c r="Q58" s="17" t="str">
        <f>'3o TRIMESTRE'!Q58</f>
        <v>3.3.90.39</v>
      </c>
      <c r="R58" s="93">
        <f>'3o TRIMESTRE'!R58</f>
        <v>6982369.6500000004</v>
      </c>
      <c r="S58" s="93">
        <v>0</v>
      </c>
      <c r="T58" s="93">
        <f>'3o TRIMESTRE'!T58+S58</f>
        <v>1462517.9</v>
      </c>
      <c r="U58" s="93" t="e">
        <f>'3o TRIMESTRE'!U58+S58</f>
        <v>#REF!</v>
      </c>
      <c r="V58" s="19" t="str">
        <f>'3o TRIMESTRE'!V58</f>
        <v>andamento</v>
      </c>
      <c r="W58" s="10" t="e">
        <f t="shared" si="1"/>
        <v>#REF!</v>
      </c>
      <c r="X58" s="109"/>
      <c r="Y58" s="37"/>
      <c r="Z58" s="37"/>
      <c r="AA58" s="42" t="str">
        <f t="shared" si="2"/>
        <v>verdadeiro</v>
      </c>
      <c r="AB58" s="46"/>
    </row>
    <row r="59" spans="1:28" ht="21.45">
      <c r="A59" s="19" t="str">
        <f>'3o TRIMESTRE'!A59</f>
        <v>DISP 003/2021</v>
      </c>
      <c r="B59" s="19" t="str">
        <f>'3o TRIMESTRE'!B59</f>
        <v>CONTRATACAO DE SERVICO. EM CARATER EMERGENCIAL. DE COLETA E LIMPEZA URBANA LOTE 1</v>
      </c>
      <c r="C59" s="19" t="s">
        <v>154</v>
      </c>
      <c r="D59" s="19">
        <f>'3o TRIMESTRE'!D59</f>
        <v>0</v>
      </c>
      <c r="E59" s="93">
        <f>'3o TRIMESTRE'!E59</f>
        <v>0</v>
      </c>
      <c r="F59" s="93">
        <f>'3o TRIMESTRE'!F59</f>
        <v>0</v>
      </c>
      <c r="G59" s="19" t="str">
        <f>'3o TRIMESTRE'!G59</f>
        <v>12.854.865/0001-02</v>
      </c>
      <c r="H59" s="19" t="str">
        <f>'3o TRIMESTRE'!H59</f>
        <v>COELHO DE  ANDRADE ENGENHARIA LTDA</v>
      </c>
      <c r="I59" s="17" t="str">
        <f>'3o TRIMESTRE'!I59</f>
        <v>6-048/21</v>
      </c>
      <c r="J59" s="35">
        <f>'3o TRIMESTRE'!J59</f>
        <v>44469</v>
      </c>
      <c r="K59" s="17">
        <f>'3o TRIMESTRE'!K59</f>
        <v>180</v>
      </c>
      <c r="L59" s="93">
        <f>'3o TRIMESTRE'!L59</f>
        <v>26846364.449999999</v>
      </c>
      <c r="M59" s="35">
        <f t="shared" si="0"/>
        <v>44649</v>
      </c>
      <c r="N59" s="17">
        <f>'3o TRIMESTRE'!N59</f>
        <v>0</v>
      </c>
      <c r="O59" s="93">
        <f>'3o TRIMESTRE'!O59</f>
        <v>0</v>
      </c>
      <c r="P59" s="93">
        <f>'3o TRIMESTRE'!P59</f>
        <v>1905664.26</v>
      </c>
      <c r="Q59" s="17" t="str">
        <f>'3o TRIMESTRE'!Q59</f>
        <v>3.3.90.39</v>
      </c>
      <c r="R59" s="93">
        <f>'3o TRIMESTRE'!R59</f>
        <v>21900327</v>
      </c>
      <c r="S59" s="93">
        <v>0</v>
      </c>
      <c r="T59" s="93">
        <f>'3o TRIMESTRE'!T59+S59</f>
        <v>9132439.3599999994</v>
      </c>
      <c r="U59" s="93" t="e">
        <f>'3o TRIMESTRE'!U59+S59</f>
        <v>#REF!</v>
      </c>
      <c r="V59" s="19" t="str">
        <f>'3o TRIMESTRE'!V59</f>
        <v>andamento</v>
      </c>
      <c r="W59" s="10" t="e">
        <f t="shared" si="1"/>
        <v>#REF!</v>
      </c>
      <c r="X59" s="109"/>
      <c r="Y59" s="37"/>
      <c r="Z59" s="37"/>
      <c r="AA59" s="42" t="str">
        <f t="shared" si="2"/>
        <v>verdadeiro</v>
      </c>
    </row>
    <row r="60" spans="1:28" ht="64.3">
      <c r="A60" s="19" t="str">
        <f>'3o TRIMESTRE'!A60</f>
        <v>CONCORRÊNCIA / nº 007/2019</v>
      </c>
      <c r="B60" s="19" t="str">
        <f>'3o TRIMESTRE'!B60</f>
        <v>EMPRESA DE ENGENHARIA ESPECIALIZADA EM ILUMINAÇÃO PÚBLICA, PARA FORNECIMENTO E INSTALAÇÃO DE EQUIPAMENTOS DE SEGURANÇA CONTRA VAZAMENTO DE CORRENTES ELÉTRICAS E ATERRAMENTO DOS POSTES DE ILUMINAÇÃO PUBLICA DAS PRAÇAS E PARQUES DA CIDADE DO RECIFE.</v>
      </c>
      <c r="C60" s="19">
        <v>0</v>
      </c>
      <c r="D60" s="19">
        <f>'3o TRIMESTRE'!D60</f>
        <v>0</v>
      </c>
      <c r="E60" s="93">
        <f>'3o TRIMESTRE'!E60</f>
        <v>0</v>
      </c>
      <c r="F60" s="93">
        <f>'3o TRIMESTRE'!F60</f>
        <v>0</v>
      </c>
      <c r="G60" s="19" t="str">
        <f>'3o TRIMESTRE'!G60</f>
        <v>41.116.138/0001-38</v>
      </c>
      <c r="H60" s="19" t="str">
        <f>'3o TRIMESTRE'!H60</f>
        <v>REAL ENERGY LTDA</v>
      </c>
      <c r="I60" s="17" t="str">
        <f>'3o TRIMESTRE'!I60</f>
        <v>6-051/19</v>
      </c>
      <c r="J60" s="35">
        <f>'3o TRIMESTRE'!J60</f>
        <v>43769</v>
      </c>
      <c r="K60" s="17">
        <f>'3o TRIMESTRE'!K60</f>
        <v>760</v>
      </c>
      <c r="L60" s="93">
        <f>'3o TRIMESTRE'!L60</f>
        <v>2584195.6</v>
      </c>
      <c r="M60" s="35">
        <f t="shared" si="0"/>
        <v>44619</v>
      </c>
      <c r="N60" s="17">
        <f>'3o TRIMESTRE'!N60</f>
        <v>90</v>
      </c>
      <c r="O60" s="93">
        <f>'3o TRIMESTRE'!O60</f>
        <v>327163.7</v>
      </c>
      <c r="P60" s="93">
        <f>'3o TRIMESTRE'!P60</f>
        <v>-44558.22</v>
      </c>
      <c r="Q60" s="17" t="str">
        <f>'3o TRIMESTRE'!Q60</f>
        <v>3.3.90.39</v>
      </c>
      <c r="R60" s="93">
        <f>'3o TRIMESTRE'!R60+479586.47</f>
        <v>3261794.33</v>
      </c>
      <c r="S60" s="93">
        <v>479586.47000000003</v>
      </c>
      <c r="T60" s="93">
        <f>'3o TRIMESTRE'!T60+S60</f>
        <v>1675727.6500000001</v>
      </c>
      <c r="U60" s="93" t="e">
        <f>'3o TRIMESTRE'!U60+S60</f>
        <v>#REF!</v>
      </c>
      <c r="V60" s="19" t="str">
        <f>'3o TRIMESTRE'!V60</f>
        <v>encerrado</v>
      </c>
      <c r="W60" s="10" t="e">
        <f t="shared" si="1"/>
        <v>#REF!</v>
      </c>
      <c r="X60" s="109"/>
      <c r="Y60" s="37"/>
      <c r="Z60" s="37"/>
      <c r="AA60" s="42" t="str">
        <f t="shared" si="2"/>
        <v>verdadeiro</v>
      </c>
      <c r="AB60" s="46"/>
    </row>
    <row r="61" spans="1:28" ht="42.9">
      <c r="A61" s="19" t="str">
        <f>'3o TRIMESTRE'!A61</f>
        <v>Pregão Eletrônico Licitação: 032/2021</v>
      </c>
      <c r="B61" s="19" t="str">
        <f>'3o TRIMESTRE'!B61</f>
        <v>CONTRATAÇÃO DE EMPRESA ESPECIALIZADA NA PRESTAÇÃO DE SERVIÇOS CONTÍNUOS DE PAISAGISMO E CONSERVAÇÃO PREVENTIVA E CORRETIVA DE PARQUES, PRAÇAS, JARDINS E ÁREAS VERDES PÚBLICAS NA CIDADE DO RECIFE - LOTE 01</v>
      </c>
      <c r="C61" s="19" t="s">
        <v>154</v>
      </c>
      <c r="D61" s="19">
        <f>'3o TRIMESTRE'!D61</f>
        <v>0</v>
      </c>
      <c r="E61" s="93">
        <f>'3o TRIMESTRE'!E61+15823300.23</f>
        <v>15823300.23</v>
      </c>
      <c r="F61" s="93">
        <f>'3o TRIMESTRE'!F61</f>
        <v>0</v>
      </c>
      <c r="G61" s="19" t="str">
        <f>'3o TRIMESTRE'!G61</f>
        <v>08.963.533/0001-80</v>
      </c>
      <c r="H61" s="19" t="str">
        <f>'3o TRIMESTRE'!H61</f>
        <v>FAR COMERCIO E SERVIÇOS PAISAGISTICOS LTDA</v>
      </c>
      <c r="I61" s="17" t="str">
        <f>'3o TRIMESTRE'!I61</f>
        <v>6-056/21</v>
      </c>
      <c r="J61" s="35">
        <f>'3o TRIMESTRE'!J61</f>
        <v>44531</v>
      </c>
      <c r="K61" s="17">
        <f>'3o TRIMESTRE'!K61</f>
        <v>760</v>
      </c>
      <c r="L61" s="93">
        <f>'3o TRIMESTRE'!L61</f>
        <v>3696587.52</v>
      </c>
      <c r="M61" s="35">
        <f t="shared" si="0"/>
        <v>45291</v>
      </c>
      <c r="N61" s="17">
        <f>'3o TRIMESTRE'!N61</f>
        <v>0</v>
      </c>
      <c r="O61" s="93">
        <f>'3o TRIMESTRE'!O61</f>
        <v>0</v>
      </c>
      <c r="P61" s="93">
        <f>'3o TRIMESTRE'!P61</f>
        <v>0</v>
      </c>
      <c r="Q61" s="17" t="str">
        <f>'3o TRIMESTRE'!Q61</f>
        <v>3.3.90.39</v>
      </c>
      <c r="R61" s="93">
        <f>'3o TRIMESTRE'!R61</f>
        <v>415369.05</v>
      </c>
      <c r="S61" s="93">
        <v>0</v>
      </c>
      <c r="T61" s="93">
        <f>'3o TRIMESTRE'!T61+S61</f>
        <v>249788.94</v>
      </c>
      <c r="U61" s="93" t="e">
        <f>'3o TRIMESTRE'!U61+S61</f>
        <v>#REF!</v>
      </c>
      <c r="V61" s="19" t="str">
        <f>'3o TRIMESTRE'!V61</f>
        <v>andamento</v>
      </c>
      <c r="W61" s="10" t="e">
        <f t="shared" si="1"/>
        <v>#REF!</v>
      </c>
      <c r="X61" s="109"/>
      <c r="Y61" s="37"/>
      <c r="Z61" s="37"/>
      <c r="AA61" s="42" t="str">
        <f t="shared" si="2"/>
        <v>verdadeiro</v>
      </c>
      <c r="AB61" s="45"/>
    </row>
    <row r="62" spans="1:28" ht="42.9">
      <c r="A62" s="19" t="str">
        <f>'3o TRIMESTRE'!A62</f>
        <v>Pregão Eletrônico Licitação: 032/2021</v>
      </c>
      <c r="B62" s="19" t="str">
        <f>'3o TRIMESTRE'!B62</f>
        <v>CONTRATAÇÃO DE EMPRESA ESPECIALIZADA NA PRESTAÇÃO DE SERVIÇOS CONTÍNUOS DE PAISAGISMO E CONSERVAÇÃO PREVENTIVA E CORRETIVA DE PARQUES, PRAÇAS, JARDINS E ÁREAS VERDES PÚBLICOS NA CIDADE DO RECIFE - LOTE 02</v>
      </c>
      <c r="C62" s="19">
        <v>0</v>
      </c>
      <c r="D62" s="19">
        <f>'3o TRIMESTRE'!D62</f>
        <v>0</v>
      </c>
      <c r="E62" s="93">
        <f>'3o TRIMESTRE'!E62</f>
        <v>0</v>
      </c>
      <c r="F62" s="93">
        <f>'3o TRIMESTRE'!F62</f>
        <v>0</v>
      </c>
      <c r="G62" s="19" t="str">
        <f>'3o TRIMESTRE'!G62</f>
        <v>08.963.533/0001-80</v>
      </c>
      <c r="H62" s="19" t="str">
        <f>'3o TRIMESTRE'!H62</f>
        <v>FAR COMERCIO E SERVIÇOS PAISAGISTICOS LTDA</v>
      </c>
      <c r="I62" s="17" t="str">
        <f>'3o TRIMESTRE'!I62</f>
        <v>6-057/21</v>
      </c>
      <c r="J62" s="35">
        <f>'3o TRIMESTRE'!J62</f>
        <v>44532</v>
      </c>
      <c r="K62" s="17">
        <f>'3o TRIMESTRE'!K62</f>
        <v>760</v>
      </c>
      <c r="L62" s="93">
        <f>'3o TRIMESTRE'!L62</f>
        <v>3380477.52</v>
      </c>
      <c r="M62" s="35">
        <f t="shared" si="0"/>
        <v>45292</v>
      </c>
      <c r="N62" s="17">
        <f>'3o TRIMESTRE'!N62</f>
        <v>0</v>
      </c>
      <c r="O62" s="93">
        <f>'3o TRIMESTRE'!O62</f>
        <v>0</v>
      </c>
      <c r="P62" s="93">
        <f>'3o TRIMESTRE'!P62</f>
        <v>0</v>
      </c>
      <c r="Q62" s="17" t="str">
        <f>'3o TRIMESTRE'!Q62</f>
        <v>3.3.90.39</v>
      </c>
      <c r="R62" s="93">
        <f>'3o TRIMESTRE'!R62+1115906.67</f>
        <v>3021503.5599999996</v>
      </c>
      <c r="S62" s="93">
        <v>1393902.4600000002</v>
      </c>
      <c r="T62" s="93">
        <f>'3o TRIMESTRE'!T62+S62</f>
        <v>3299273.5</v>
      </c>
      <c r="U62" s="93" t="e">
        <f>'3o TRIMESTRE'!U62+S62</f>
        <v>#REF!</v>
      </c>
      <c r="V62" s="19" t="str">
        <f>'3o TRIMESTRE'!V62</f>
        <v>andamento</v>
      </c>
      <c r="W62" s="10" t="e">
        <f t="shared" si="1"/>
        <v>#REF!</v>
      </c>
      <c r="X62" s="109"/>
      <c r="Y62" s="37"/>
      <c r="Z62" s="37"/>
      <c r="AA62" s="42" t="str">
        <f t="shared" si="2"/>
        <v>verdadeiro</v>
      </c>
    </row>
    <row r="63" spans="1:28" ht="42.9">
      <c r="A63" s="19" t="str">
        <f>'3o TRIMESTRE'!A63</f>
        <v>CONCORRÊNCIA / nº 014/2021</v>
      </c>
      <c r="B63" s="19" t="str">
        <f>'3o TRIMESTRE'!B63</f>
        <v>CONTRATAÇÃO DE EMPRESA DE ENGENHARIA, ESPECIALIZADA EM ILUMINAÇÃO PÚBLICA, PARA FORNECIMENTO E INSTALAÇÃO DE LUMINÁRIAS COM TECNOLOGIA LED RGB E REDE ELÉTRICA, PARA ILUMINAÇÃO CÊNICA DO PARQUE DONA LINDU, BOA VIAGEM</v>
      </c>
      <c r="C63" s="19" t="s">
        <v>154</v>
      </c>
      <c r="D63" s="19" t="str">
        <f>'3o TRIMESTRE'!D63</f>
        <v>FINISA</v>
      </c>
      <c r="E63" s="93">
        <f>'3o TRIMESTRE'!E63+15823300.23</f>
        <v>65823300.230000004</v>
      </c>
      <c r="F63" s="93">
        <f>'3o TRIMESTRE'!F63</f>
        <v>0</v>
      </c>
      <c r="G63" s="19" t="str">
        <f>'3o TRIMESTRE'!G63</f>
        <v>03.834.750/0001-57</v>
      </c>
      <c r="H63" s="19" t="str">
        <f>'3o TRIMESTRE'!H63</f>
        <v>EIP SERVICOS DE ILUMINACAO LTDA</v>
      </c>
      <c r="I63" s="17" t="str">
        <f>'3o TRIMESTRE'!I63</f>
        <v>6-001/22</v>
      </c>
      <c r="J63" s="35">
        <f>'3o TRIMESTRE'!J63</f>
        <v>44599</v>
      </c>
      <c r="K63" s="17">
        <f>'3o TRIMESTRE'!K63</f>
        <v>150</v>
      </c>
      <c r="L63" s="93">
        <f>'3o TRIMESTRE'!L63</f>
        <v>2245061.8199999998</v>
      </c>
      <c r="M63" s="35">
        <f t="shared" si="0"/>
        <v>44749</v>
      </c>
      <c r="N63" s="17">
        <f>'3o TRIMESTRE'!N63</f>
        <v>0</v>
      </c>
      <c r="O63" s="93">
        <f>'3o TRIMESTRE'!O63</f>
        <v>0</v>
      </c>
      <c r="P63" s="93">
        <f>'3o TRIMESTRE'!P63</f>
        <v>0</v>
      </c>
      <c r="Q63" s="17" t="str">
        <f>'3o TRIMESTRE'!Q63</f>
        <v>4.4.90.39</v>
      </c>
      <c r="R63" s="93">
        <f>'3o TRIMESTRE'!R63</f>
        <v>0</v>
      </c>
      <c r="S63" s="93"/>
      <c r="T63" s="93">
        <f>'3o TRIMESTRE'!T63+S63</f>
        <v>0</v>
      </c>
      <c r="U63" s="93" t="e">
        <f>'3o TRIMESTRE'!U63+S63</f>
        <v>#REF!</v>
      </c>
      <c r="V63" s="19" t="str">
        <f>'3o TRIMESTRE'!V63</f>
        <v>andamento</v>
      </c>
      <c r="W63" s="10" t="e">
        <f t="shared" si="1"/>
        <v>#REF!</v>
      </c>
      <c r="X63" s="109"/>
      <c r="Y63" s="37"/>
      <c r="Z63" s="37"/>
      <c r="AA63" s="42" t="str">
        <f t="shared" si="2"/>
        <v>verdadeiro</v>
      </c>
    </row>
    <row r="64" spans="1:28" ht="32.15">
      <c r="A64" s="19" t="str">
        <f>'3o TRIMESTRE'!A64</f>
        <v>CONCORRÊNCIA / nº 012/2021</v>
      </c>
      <c r="B64" s="19" t="str">
        <f>'3o TRIMESTRE'!B64</f>
        <v>CONTRATAÇÃO DE EMPRESA DE ENGENHARIA, ESPECIALIZADA EM ILUMINAÇÃO PÚBLICA, PARA SERVIÇOS DE APOIO TÉCNICO PARA CIDADE DO RECIFE.</v>
      </c>
      <c r="C64" s="19">
        <v>0</v>
      </c>
      <c r="D64" s="19">
        <f>'3o TRIMESTRE'!D64</f>
        <v>0</v>
      </c>
      <c r="E64" s="93">
        <f>'3o TRIMESTRE'!E64</f>
        <v>0</v>
      </c>
      <c r="F64" s="93">
        <f>'3o TRIMESTRE'!F64</f>
        <v>0</v>
      </c>
      <c r="G64" s="19" t="str">
        <f>'3o TRIMESTRE'!G64</f>
        <v>03.834.750/0001-57</v>
      </c>
      <c r="H64" s="19" t="str">
        <f>'3o TRIMESTRE'!H64</f>
        <v>EIP SERVICOS DE ILUMINACAO LTDA</v>
      </c>
      <c r="I64" s="17" t="str">
        <f>'3o TRIMESTRE'!I64</f>
        <v>6-002/22</v>
      </c>
      <c r="J64" s="35">
        <f>'3o TRIMESTRE'!J64</f>
        <v>44589</v>
      </c>
      <c r="K64" s="17">
        <f>'3o TRIMESTRE'!K64</f>
        <v>760</v>
      </c>
      <c r="L64" s="93">
        <f>'3o TRIMESTRE'!L64</f>
        <v>1418802</v>
      </c>
      <c r="M64" s="35">
        <f t="shared" si="0"/>
        <v>45349</v>
      </c>
      <c r="N64" s="17">
        <f>'3o TRIMESTRE'!N64</f>
        <v>0</v>
      </c>
      <c r="O64" s="93">
        <f>'3o TRIMESTRE'!O64+105238.25</f>
        <v>306255.94</v>
      </c>
      <c r="P64" s="93">
        <f>'3o TRIMESTRE'!P64</f>
        <v>0</v>
      </c>
      <c r="Q64" s="17" t="str">
        <f>'3o TRIMESTRE'!Q64</f>
        <v>3.3.90.39</v>
      </c>
      <c r="R64" s="93">
        <f>'3o TRIMESTRE'!R64+1243464.65</f>
        <v>3735143.84</v>
      </c>
      <c r="S64" s="93">
        <v>1698917.0899999999</v>
      </c>
      <c r="T64" s="93">
        <f>'3o TRIMESTRE'!T64+S64</f>
        <v>4271084.67</v>
      </c>
      <c r="U64" s="93" t="e">
        <f>'3o TRIMESTRE'!U64+S64</f>
        <v>#REF!</v>
      </c>
      <c r="V64" s="19" t="str">
        <f>'3o TRIMESTRE'!V64</f>
        <v>andamento</v>
      </c>
      <c r="W64" s="10" t="e">
        <f t="shared" si="1"/>
        <v>#REF!</v>
      </c>
      <c r="X64" s="109"/>
      <c r="Y64" s="37"/>
      <c r="Z64" s="37"/>
      <c r="AA64" s="42" t="str">
        <f t="shared" si="2"/>
        <v>verdadeiro</v>
      </c>
    </row>
    <row r="65" spans="1:28" ht="42.9">
      <c r="A65" s="19" t="str">
        <f>'3o TRIMESTRE'!A65</f>
        <v>CONCORRÊNCIA / nº 008/2021</v>
      </c>
      <c r="B65" s="19" t="str">
        <f>'3o TRIMESTRE'!B65</f>
        <v>CONTRATAÇÃO DE EMPRESA DE ENGENHARIA, ESPECIALIZADA EM ILUMINAÇÃO PÚBLICA, PARA EXECUÇÃO DA MANUTENÇÃO, PREVENTIVA E CORRETIVA, DO SISTEMA DE ILUMINAÇÃO CÊNICA DA CIDADE DO RECIFE</v>
      </c>
      <c r="C65" s="19">
        <v>0</v>
      </c>
      <c r="D65" s="19" t="str">
        <f>'3o TRIMESTRE'!D65</f>
        <v>FINISA</v>
      </c>
      <c r="E65" s="93">
        <f>'3o TRIMESTRE'!E65</f>
        <v>50000000</v>
      </c>
      <c r="F65" s="93">
        <f>'3o TRIMESTRE'!F65</f>
        <v>0</v>
      </c>
      <c r="G65" s="19" t="str">
        <f>'3o TRIMESTRE'!G65</f>
        <v>03.834.750/0001-57</v>
      </c>
      <c r="H65" s="19" t="str">
        <f>'3o TRIMESTRE'!H65</f>
        <v>EIP SERVICOS DE ILUMINACAO LTDA</v>
      </c>
      <c r="I65" s="17" t="str">
        <f>'3o TRIMESTRE'!I65</f>
        <v>6-003/22</v>
      </c>
      <c r="J65" s="35">
        <f>'3o TRIMESTRE'!J65</f>
        <v>44589</v>
      </c>
      <c r="K65" s="17">
        <f>'3o TRIMESTRE'!K65</f>
        <v>760</v>
      </c>
      <c r="L65" s="93">
        <f>'3o TRIMESTRE'!L65</f>
        <v>3730846.67</v>
      </c>
      <c r="M65" s="35">
        <f t="shared" si="0"/>
        <v>45349</v>
      </c>
      <c r="N65" s="17">
        <f>'3o TRIMESTRE'!N65</f>
        <v>0</v>
      </c>
      <c r="O65" s="93">
        <f>'3o TRIMESTRE'!O65</f>
        <v>0</v>
      </c>
      <c r="P65" s="93">
        <f>'3o TRIMESTRE'!P65</f>
        <v>0</v>
      </c>
      <c r="Q65" s="17" t="str">
        <f>'3o TRIMESTRE'!Q65</f>
        <v>4.4.90.39</v>
      </c>
      <c r="R65" s="93">
        <f>'3o TRIMESTRE'!R65+926136.61</f>
        <v>2468763</v>
      </c>
      <c r="S65" s="93">
        <v>926136.60999999987</v>
      </c>
      <c r="T65" s="93">
        <f>'3o TRIMESTRE'!T65+S65</f>
        <v>3270495.73</v>
      </c>
      <c r="U65" s="93" t="e">
        <f>'3o TRIMESTRE'!U65+S65</f>
        <v>#REF!</v>
      </c>
      <c r="V65" s="19" t="str">
        <f>'3o TRIMESTRE'!V65</f>
        <v>andamento</v>
      </c>
      <c r="W65" s="10" t="e">
        <f t="shared" si="1"/>
        <v>#REF!</v>
      </c>
      <c r="X65" s="109"/>
      <c r="Y65" s="37"/>
      <c r="Z65" s="37"/>
      <c r="AA65" s="42" t="str">
        <f t="shared" si="2"/>
        <v>verdadeiro</v>
      </c>
    </row>
    <row r="66" spans="1:28" ht="32.15">
      <c r="A66" s="19" t="str">
        <f>'3o TRIMESTRE'!A66</f>
        <v>Pregão Eletrônico Licitação: 037/2021</v>
      </c>
      <c r="B66" s="19" t="str">
        <f>'3o TRIMESTRE'!B66</f>
        <v>SERVIÇOS DE INFRAESTURURA PARA IMPLANTAÇÃO DO MEMORIAL JUDAICO EM HONRA AO POVO JUDEU, NA PRAÇA TIRADENTES BAIRRO DO RECIFE, RECIFE - PE</v>
      </c>
      <c r="C66" s="19" t="s">
        <v>155</v>
      </c>
      <c r="D66" s="19">
        <f>'3o TRIMESTRE'!D66</f>
        <v>0</v>
      </c>
      <c r="E66" s="93">
        <f>'3o TRIMESTRE'!E66+15823300.23</f>
        <v>15823300.23</v>
      </c>
      <c r="F66" s="93">
        <f>'3o TRIMESTRE'!F66</f>
        <v>0</v>
      </c>
      <c r="G66" s="19" t="str">
        <f>'3o TRIMESTRE'!G66</f>
        <v>22.257.930/0001-68</v>
      </c>
      <c r="H66" s="19" t="str">
        <f>'3o TRIMESTRE'!H66</f>
        <v>G O DOS SANTOS CONSTRUCOES EIRELI</v>
      </c>
      <c r="I66" s="17" t="str">
        <f>'3o TRIMESTRE'!I66</f>
        <v>6-004/22</v>
      </c>
      <c r="J66" s="35">
        <f>'3o TRIMESTRE'!J66</f>
        <v>44602</v>
      </c>
      <c r="K66" s="17">
        <f>'3o TRIMESTRE'!K66</f>
        <v>60</v>
      </c>
      <c r="L66" s="93">
        <f>'3o TRIMESTRE'!L66</f>
        <v>119999.98</v>
      </c>
      <c r="M66" s="35">
        <f t="shared" si="0"/>
        <v>44662</v>
      </c>
      <c r="N66" s="17">
        <f>'3o TRIMESTRE'!N66</f>
        <v>0</v>
      </c>
      <c r="O66" s="93">
        <f>'3o TRIMESTRE'!O66</f>
        <v>0</v>
      </c>
      <c r="P66" s="93">
        <f>'3o TRIMESTRE'!P66</f>
        <v>0</v>
      </c>
      <c r="Q66" s="17" t="str">
        <f>'3o TRIMESTRE'!Q66</f>
        <v>4.4.90.39</v>
      </c>
      <c r="R66" s="93">
        <f>'3o TRIMESTRE'!R66</f>
        <v>0</v>
      </c>
      <c r="S66" s="93"/>
      <c r="T66" s="93">
        <f>'3o TRIMESTRE'!T66+S66</f>
        <v>0</v>
      </c>
      <c r="U66" s="93" t="e">
        <f>'3o TRIMESTRE'!U66+S66</f>
        <v>#REF!</v>
      </c>
      <c r="V66" s="19" t="str">
        <f>'3o TRIMESTRE'!V66</f>
        <v>cadastrado</v>
      </c>
      <c r="W66" s="10" t="e">
        <f t="shared" si="1"/>
        <v>#REF!</v>
      </c>
      <c r="X66" s="109"/>
      <c r="Y66" s="37"/>
      <c r="Z66" s="37"/>
      <c r="AA66" s="42" t="str">
        <f t="shared" si="2"/>
        <v>verdadeiro</v>
      </c>
    </row>
    <row r="67" spans="1:28" ht="53.6">
      <c r="A67" s="19" t="str">
        <f>'3o TRIMESTRE'!A67</f>
        <v>Tomada de Preço Licitação: 009/2021</v>
      </c>
      <c r="B67" s="19" t="str">
        <f>'3o TRIMESTRE'!B67</f>
        <v>SERVIÇOS DE REFORMA DE DIVERSOS PRÉDIOS PÚBLICOS MANTIDOS PELA EMLURB: LOTE 01 DLU E GOFIS DA RPA 01 E RPA 06, LOTE 02 DIVERSOS BANHEIROS PÚBLICOS, SEDE DA EMLURB E LABORATÓRIO. LOCALIZADOS EM DIVERSOS BAIRROS DA CIDADE DO RECIFE PE</v>
      </c>
      <c r="C67" s="19" t="s">
        <v>154</v>
      </c>
      <c r="D67" s="19">
        <f>'3o TRIMESTRE'!D67</f>
        <v>0</v>
      </c>
      <c r="E67" s="93">
        <f>'3o TRIMESTRE'!E67+15823300.23</f>
        <v>15823300.23</v>
      </c>
      <c r="F67" s="93">
        <f>'3o TRIMESTRE'!F67</f>
        <v>0</v>
      </c>
      <c r="G67" s="19" t="str">
        <f>'3o TRIMESTRE'!G67</f>
        <v>30.700.985/0001-29</v>
      </c>
      <c r="H67" s="19" t="str">
        <f>'3o TRIMESTRE'!H67</f>
        <v>CONSTRUTORA MANASSU LTDA</v>
      </c>
      <c r="I67" s="17" t="str">
        <f>'3o TRIMESTRE'!I67</f>
        <v>6-005/22</v>
      </c>
      <c r="J67" s="35">
        <f>'3o TRIMESTRE'!J67</f>
        <v>44606</v>
      </c>
      <c r="K67" s="17">
        <f>'3o TRIMESTRE'!K67</f>
        <v>270</v>
      </c>
      <c r="L67" s="93">
        <f>'3o TRIMESTRE'!L67</f>
        <v>493303.08</v>
      </c>
      <c r="M67" s="35">
        <f t="shared" si="0"/>
        <v>44876</v>
      </c>
      <c r="N67" s="17">
        <f>'3o TRIMESTRE'!N67</f>
        <v>0</v>
      </c>
      <c r="O67" s="93">
        <f>'3o TRIMESTRE'!O67</f>
        <v>0</v>
      </c>
      <c r="P67" s="93">
        <f>'3o TRIMESTRE'!P67</f>
        <v>0</v>
      </c>
      <c r="Q67" s="17" t="str">
        <f>'3o TRIMESTRE'!Q67</f>
        <v>4.4.90.39</v>
      </c>
      <c r="R67" s="93">
        <f>'3o TRIMESTRE'!R67</f>
        <v>0</v>
      </c>
      <c r="S67" s="93"/>
      <c r="T67" s="93">
        <f>'3o TRIMESTRE'!T67+S67</f>
        <v>0</v>
      </c>
      <c r="U67" s="93" t="e">
        <f>'3o TRIMESTRE'!U67+S67</f>
        <v>#REF!</v>
      </c>
      <c r="V67" s="19" t="s">
        <v>190</v>
      </c>
      <c r="W67" s="10" t="e">
        <f t="shared" si="1"/>
        <v>#REF!</v>
      </c>
      <c r="X67" s="109"/>
      <c r="Y67" s="37"/>
      <c r="Z67" s="37"/>
      <c r="AA67" s="42" t="str">
        <f t="shared" si="2"/>
        <v>verdadeiro</v>
      </c>
    </row>
    <row r="68" spans="1:28" ht="53.6">
      <c r="A68" s="19" t="str">
        <f>'3o TRIMESTRE'!A68</f>
        <v>CREDENCIAMENTO Licitação: 001/2021</v>
      </c>
      <c r="B68" s="19" t="str">
        <f>'3o TRIMESTRE'!B68</f>
        <v>CREDENCIAMENTO DE EMPRESA ESPECIALIZADA EM ENGENHARIA SANITÁRIA PARA RECOLHIMENTO, TRATAMENTO E DISPOSIÇÃO FINAL AMBIENTALMENTE CORRETO DE LÍQUIDOS ORIUNDOS DO ATERRO DESATIVADO DA MURIBECA SOB RESPONSABILIDADE DA EMLURB</v>
      </c>
      <c r="C68" s="19" t="s">
        <v>155</v>
      </c>
      <c r="D68" s="19">
        <f>'3o TRIMESTRE'!D68</f>
        <v>0</v>
      </c>
      <c r="E68" s="93">
        <f>'3o TRIMESTRE'!E68+15823300.23</f>
        <v>15823300.23</v>
      </c>
      <c r="F68" s="93">
        <f>'3o TRIMESTRE'!F68</f>
        <v>0</v>
      </c>
      <c r="G68" s="19" t="str">
        <f>'3o TRIMESTRE'!G68</f>
        <v>08.165.091/0002-08</v>
      </c>
      <c r="H68" s="19" t="str">
        <f>'3o TRIMESTRE'!H68</f>
        <v>ECOPESA AMBIENTAL S.A.</v>
      </c>
      <c r="I68" s="17" t="str">
        <f>'3o TRIMESTRE'!I68</f>
        <v>6-006/22</v>
      </c>
      <c r="J68" s="35">
        <f>'3o TRIMESTRE'!J68</f>
        <v>44606</v>
      </c>
      <c r="K68" s="17">
        <f>'3o TRIMESTRE'!K68</f>
        <v>395</v>
      </c>
      <c r="L68" s="93">
        <f>'3o TRIMESTRE'!L68</f>
        <v>1392960</v>
      </c>
      <c r="M68" s="35">
        <f t="shared" si="0"/>
        <v>45001</v>
      </c>
      <c r="N68" s="17">
        <f>'3o TRIMESTRE'!N68</f>
        <v>0</v>
      </c>
      <c r="O68" s="93">
        <f>'3o TRIMESTRE'!O68</f>
        <v>0</v>
      </c>
      <c r="P68" s="93">
        <f>'3o TRIMESTRE'!P68</f>
        <v>0</v>
      </c>
      <c r="Q68" s="17" t="str">
        <f>'3o TRIMESTRE'!Q68</f>
        <v>3.3.90.39</v>
      </c>
      <c r="R68" s="93">
        <f>'3o TRIMESTRE'!R68</f>
        <v>203952.56</v>
      </c>
      <c r="S68" s="93">
        <v>0</v>
      </c>
      <c r="T68" s="93">
        <f>'3o TRIMESTRE'!T68+S68</f>
        <v>203952.56</v>
      </c>
      <c r="U68" s="93" t="e">
        <f>'3o TRIMESTRE'!U68+S68</f>
        <v>#REF!</v>
      </c>
      <c r="V68" s="19" t="str">
        <f>'3o TRIMESTRE'!V68</f>
        <v>andamento</v>
      </c>
      <c r="W68" s="10" t="e">
        <f t="shared" si="1"/>
        <v>#REF!</v>
      </c>
      <c r="X68" s="109"/>
      <c r="Y68" s="37"/>
      <c r="Z68" s="37"/>
      <c r="AA68" s="42" t="str">
        <f t="shared" si="2"/>
        <v>verdadeiro</v>
      </c>
      <c r="AB68" s="45"/>
    </row>
    <row r="69" spans="1:28" ht="42.9">
      <c r="A69" s="19" t="str">
        <f>'3o TRIMESTRE'!A69</f>
        <v>Tomada de Preço Licitação: 011/2021</v>
      </c>
      <c r="B69" s="19" t="str">
        <f>'3o TRIMESTRE'!B69</f>
        <v>CONTRATAÇÃO DE EMPRESA DE ENGENHARIA, ESPECIALIZADA EM ILUMINAÇÃO PÚBLICA, PARA FORNECIMENTO DE LUMINÁRIAS COM TECNOLOGIA LED RGB E REDE ELÉTRICA, PARA ILUMINAÇÃO CÊNICA DA PASSARELA JOANA BEZERRA.</v>
      </c>
      <c r="C69" s="19" t="s">
        <v>155</v>
      </c>
      <c r="D69" s="19" t="str">
        <f>'3o TRIMESTRE'!D69</f>
        <v>FINISA</v>
      </c>
      <c r="E69" s="93">
        <f>'3o TRIMESTRE'!E69+15823300.23</f>
        <v>65823300.230000004</v>
      </c>
      <c r="F69" s="93">
        <f>'3o TRIMESTRE'!F69</f>
        <v>0</v>
      </c>
      <c r="G69" s="19" t="str">
        <f>'3o TRIMESTRE'!G69</f>
        <v>01.346.561/0001-00</v>
      </c>
      <c r="H69" s="19" t="str">
        <f>'3o TRIMESTRE'!H69</f>
        <v>VASCONCELOS E SANTOS LTDA</v>
      </c>
      <c r="I69" s="17" t="str">
        <f>'3o TRIMESTRE'!I69</f>
        <v>6-007/22</v>
      </c>
      <c r="J69" s="35">
        <f>'3o TRIMESTRE'!J69</f>
        <v>44610</v>
      </c>
      <c r="K69" s="17">
        <f>'3o TRIMESTRE'!K69</f>
        <v>150</v>
      </c>
      <c r="L69" s="93">
        <f>'3o TRIMESTRE'!L69</f>
        <v>811940.61</v>
      </c>
      <c r="M69" s="35">
        <f t="shared" si="0"/>
        <v>44820</v>
      </c>
      <c r="N69" s="17">
        <f>'3o TRIMESTRE'!N69</f>
        <v>60</v>
      </c>
      <c r="O69" s="93">
        <f>'3o TRIMESTRE'!O69</f>
        <v>0</v>
      </c>
      <c r="P69" s="93">
        <f>'3o TRIMESTRE'!P69</f>
        <v>0</v>
      </c>
      <c r="Q69" s="17" t="str">
        <f>'3o TRIMESTRE'!Q69</f>
        <v>4.4.90.39</v>
      </c>
      <c r="R69" s="93">
        <f>'3o TRIMESTRE'!R69</f>
        <v>424064.2</v>
      </c>
      <c r="S69" s="93">
        <v>0</v>
      </c>
      <c r="T69" s="93">
        <f>'3o TRIMESTRE'!T69+S69</f>
        <v>543672.6</v>
      </c>
      <c r="U69" s="93" t="e">
        <f>'3o TRIMESTRE'!U69+S69</f>
        <v>#REF!</v>
      </c>
      <c r="V69" s="19" t="s">
        <v>190</v>
      </c>
      <c r="W69" s="10" t="e">
        <f t="shared" si="1"/>
        <v>#REF!</v>
      </c>
      <c r="X69" s="109"/>
      <c r="Y69" s="37"/>
      <c r="Z69" s="37"/>
      <c r="AA69" s="42" t="str">
        <f t="shared" si="2"/>
        <v>verdadeiro</v>
      </c>
    </row>
    <row r="70" spans="1:28" ht="21.45">
      <c r="A70" s="19" t="str">
        <f>'3o TRIMESTRE'!A70</f>
        <v>CONCORRÊNCIA / nº 017/2021</v>
      </c>
      <c r="B70" s="19" t="str">
        <f>'3o TRIMESTRE'!B70</f>
        <v>IMPLANTAÇÃO DE TRECHO DE DRENAGEM DA RUA VINTE E UM DE ABRIL COM A RUA LÍDIA GUIMARÃES, EM AFOGADOS RECIE-PE</v>
      </c>
      <c r="C70" s="19" t="s">
        <v>155</v>
      </c>
      <c r="D70" s="19">
        <f>'3o TRIMESTRE'!D70</f>
        <v>0</v>
      </c>
      <c r="E70" s="93">
        <f>'3o TRIMESTRE'!E70+15823300.23</f>
        <v>15823300.23</v>
      </c>
      <c r="F70" s="93">
        <f>'3o TRIMESTRE'!F70</f>
        <v>0</v>
      </c>
      <c r="G70" s="19" t="str">
        <f>'3o TRIMESTRE'!G70</f>
        <v>10.893.105/0001-70</v>
      </c>
      <c r="H70" s="19" t="str">
        <f>'3o TRIMESTRE'!H70</f>
        <v>AGILIS CONSTRUTORA LTDA</v>
      </c>
      <c r="I70" s="17" t="str">
        <f>'3o TRIMESTRE'!I70</f>
        <v>6-008/22</v>
      </c>
      <c r="J70" s="35">
        <f>'3o TRIMESTRE'!J70</f>
        <v>44615</v>
      </c>
      <c r="K70" s="17">
        <f>'3o TRIMESTRE'!K70</f>
        <v>180</v>
      </c>
      <c r="L70" s="93">
        <f>'3o TRIMESTRE'!L70</f>
        <v>477968.09</v>
      </c>
      <c r="M70" s="35">
        <f t="shared" si="0"/>
        <v>44795</v>
      </c>
      <c r="N70" s="17">
        <f>'3o TRIMESTRE'!N70</f>
        <v>0</v>
      </c>
      <c r="O70" s="93">
        <f>'3o TRIMESTRE'!O70</f>
        <v>0</v>
      </c>
      <c r="P70" s="93">
        <f>'3o TRIMESTRE'!P70</f>
        <v>0</v>
      </c>
      <c r="Q70" s="17" t="str">
        <f>'3o TRIMESTRE'!Q70</f>
        <v>4.4.90.39</v>
      </c>
      <c r="R70" s="93">
        <f>'3o TRIMESTRE'!R70</f>
        <v>266723.90000000002</v>
      </c>
      <c r="S70" s="93">
        <v>0</v>
      </c>
      <c r="T70" s="93">
        <f>'3o TRIMESTRE'!T70+S70</f>
        <v>266723.90000000002</v>
      </c>
      <c r="U70" s="93" t="e">
        <f>'3o TRIMESTRE'!U70+S70</f>
        <v>#REF!</v>
      </c>
      <c r="V70" s="19" t="str">
        <f>'3o TRIMESTRE'!V70</f>
        <v>andamento</v>
      </c>
      <c r="W70" s="10" t="e">
        <f t="shared" si="1"/>
        <v>#REF!</v>
      </c>
      <c r="X70" s="109"/>
      <c r="Y70" s="37"/>
      <c r="Z70" s="37"/>
      <c r="AA70" s="42" t="str">
        <f t="shared" si="2"/>
        <v>verdadeiro</v>
      </c>
      <c r="AB70" s="46"/>
    </row>
    <row r="71" spans="1:28" ht="53.6">
      <c r="A71" s="19" t="str">
        <f>'3o TRIMESTRE'!A71</f>
        <v>CONCORRÊNCIA / nº 018/2021</v>
      </c>
      <c r="B71" s="19" t="str">
        <f>'3o TRIMESTRE'!B71</f>
        <v>SERVIÇOS DE REQUALIFICAÇÃO DE PAVIMENTAÇÃO, DRENAGEM, ACESSIBILIDADE E SINALIZAÇÃO DA RUA CARLOS PEREIRA FALÇÃO TRECHO ENTRE AS RUAS VISCONDE DE JEQUITINHONHA E TENENTE DOMINGOS DE BRITO LOCALIZADA NO BAIRRO DE BOA VIAGEM NA CIDADE DO RECIFE - PE</v>
      </c>
      <c r="C71" s="19" t="s">
        <v>155</v>
      </c>
      <c r="D71" s="19" t="str">
        <f>'3o TRIMESTRE'!D71</f>
        <v>Emenda Parlamentar Federal</v>
      </c>
      <c r="E71" s="93">
        <f>'3o TRIMESTRE'!E71+15823300.23</f>
        <v>16590641.23</v>
      </c>
      <c r="F71" s="93">
        <f>'3o TRIMESTRE'!F71</f>
        <v>8000</v>
      </c>
      <c r="G71" s="19" t="str">
        <f>'3o TRIMESTRE'!G71</f>
        <v>10.893.105/0001-70</v>
      </c>
      <c r="H71" s="19" t="str">
        <f>'3o TRIMESTRE'!H71</f>
        <v>AGILIS CONSTRUTORA LTDA</v>
      </c>
      <c r="I71" s="17" t="str">
        <f>'3o TRIMESTRE'!I71</f>
        <v>6-009/22</v>
      </c>
      <c r="J71" s="35">
        <f>'3o TRIMESTRE'!J71</f>
        <v>44630</v>
      </c>
      <c r="K71" s="17">
        <f>'3o TRIMESTRE'!K71</f>
        <v>180</v>
      </c>
      <c r="L71" s="93">
        <f>'3o TRIMESTRE'!L71</f>
        <v>730428.03</v>
      </c>
      <c r="M71" s="35">
        <f t="shared" si="0"/>
        <v>44900</v>
      </c>
      <c r="N71" s="17">
        <f>'3o TRIMESTRE'!N71</f>
        <v>90</v>
      </c>
      <c r="O71" s="93">
        <f>'3o TRIMESTRE'!O71</f>
        <v>144753.82</v>
      </c>
      <c r="P71" s="93">
        <f>'3o TRIMESTRE'!P71</f>
        <v>0</v>
      </c>
      <c r="Q71" s="17" t="str">
        <f>'3o TRIMESTRE'!Q71</f>
        <v>4.4.90.39</v>
      </c>
      <c r="R71" s="93">
        <f>'3o TRIMESTRE'!R71+689208.11</f>
        <v>768148.41</v>
      </c>
      <c r="S71" s="93">
        <v>689208.11</v>
      </c>
      <c r="T71" s="93">
        <f>'3o TRIMESTRE'!T71+S71</f>
        <v>870731.65</v>
      </c>
      <c r="U71" s="93" t="e">
        <f>'3o TRIMESTRE'!U71+S71</f>
        <v>#REF!</v>
      </c>
      <c r="V71" s="19" t="s">
        <v>190</v>
      </c>
      <c r="W71" s="10" t="e">
        <f t="shared" si="1"/>
        <v>#REF!</v>
      </c>
      <c r="X71" s="109"/>
      <c r="Y71" s="37"/>
      <c r="Z71" s="37"/>
      <c r="AA71" s="42" t="str">
        <f t="shared" si="2"/>
        <v>verdadeiro</v>
      </c>
    </row>
    <row r="72" spans="1:28" ht="42.9">
      <c r="A72" s="19" t="str">
        <f>'3o TRIMESTRE'!A72</f>
        <v>Pregão Eletrônico Licitação: 002/2022</v>
      </c>
      <c r="B72" s="19" t="str">
        <f>'3o TRIMESTRE'!B72</f>
        <v>CONTRATAÇÃO DE PESSOA S JURÍDICA S ESPECIALIZADA EM ENGENHARIA SANITÁRIA PARA RECEBIMENTO, TRATAMENTO E DISPOSIÇÃO FINAL DE RESÍDUOS DE CONSTRUÇÃO RCC CLASSE A INERTE COLETADOS PELA EMLURB NO MUNICÍPIO DO RECIFE</v>
      </c>
      <c r="C72" s="19" t="s">
        <v>155</v>
      </c>
      <c r="D72" s="19">
        <f>'3o TRIMESTRE'!D72</f>
        <v>0</v>
      </c>
      <c r="E72" s="93">
        <f>'3o TRIMESTRE'!E72+15823300.23</f>
        <v>15823300.23</v>
      </c>
      <c r="F72" s="93">
        <f>'3o TRIMESTRE'!F72</f>
        <v>0</v>
      </c>
      <c r="G72" s="19" t="str">
        <f>'3o TRIMESTRE'!G72</f>
        <v>10.877.732/0001-18</v>
      </c>
      <c r="H72" s="19" t="str">
        <f>'3o TRIMESTRE'!H72</f>
        <v>CICLO AMBIENTAL LTDA</v>
      </c>
      <c r="I72" s="17" t="str">
        <f>'3o TRIMESTRE'!I72</f>
        <v>6-012/22</v>
      </c>
      <c r="J72" s="35">
        <f>'3o TRIMESTRE'!J72</f>
        <v>44635</v>
      </c>
      <c r="K72" s="17">
        <f>'3o TRIMESTRE'!K72</f>
        <v>1890</v>
      </c>
      <c r="L72" s="93">
        <f>'3o TRIMESTRE'!L72</f>
        <v>28992600</v>
      </c>
      <c r="M72" s="35">
        <f t="shared" si="0"/>
        <v>46525</v>
      </c>
      <c r="N72" s="17">
        <f>'3o TRIMESTRE'!N72</f>
        <v>0</v>
      </c>
      <c r="O72" s="93">
        <f>'3o TRIMESTRE'!O72</f>
        <v>0</v>
      </c>
      <c r="P72" s="93">
        <f>'3o TRIMESTRE'!P72</f>
        <v>0</v>
      </c>
      <c r="Q72" s="17" t="str">
        <f>'3o TRIMESTRE'!Q72</f>
        <v>3.3.90.39</v>
      </c>
      <c r="R72" s="93">
        <f>'3o TRIMESTRE'!R72</f>
        <v>0</v>
      </c>
      <c r="S72" s="93">
        <v>0</v>
      </c>
      <c r="T72" s="93">
        <f>'3o TRIMESTRE'!T72+S72</f>
        <v>0</v>
      </c>
      <c r="U72" s="93" t="e">
        <f>'3o TRIMESTRE'!U72+S72</f>
        <v>#REF!</v>
      </c>
      <c r="V72" s="19" t="str">
        <f>'3o TRIMESTRE'!V72</f>
        <v>andamento</v>
      </c>
      <c r="W72" s="10" t="e">
        <f t="shared" si="1"/>
        <v>#REF!</v>
      </c>
      <c r="X72" s="109"/>
      <c r="Y72" s="37"/>
      <c r="Z72" s="37"/>
      <c r="AA72" s="42" t="str">
        <f t="shared" si="2"/>
        <v>verdadeiro</v>
      </c>
    </row>
    <row r="73" spans="1:28" ht="53.6">
      <c r="A73" s="19" t="str">
        <f>'3o TRIMESTRE'!A73</f>
        <v>CONCORRÊNCIA / nº 018/2021</v>
      </c>
      <c r="B73" s="19" t="str">
        <f>'3o TRIMESTRE'!B73</f>
        <v>CONTRATAÇÃO DE EMPRESA ESPCIALIZADA NO RAMO DE ENGENHARIA PARA EXECUÇÃO DOS SERVIÇOS DE RECUPERAÇÃO DE REDE DE DRENAGEM E PAVIMENTAÇÃO DA RUA ACAJUTIBA, NO TRECHO ENTRE AS RUAS GÁLIA E PINTO FERREIRA, LOCALIZADAS NO BAIRRO DE BONGI, RECIFE - PE</v>
      </c>
      <c r="C73" s="19" t="s">
        <v>155</v>
      </c>
      <c r="D73" s="19" t="str">
        <f>'3o TRIMESTRE'!D73</f>
        <v>Emenda Parlamentar Federal - TRANSFERÊNCIA  ESPECIAL - FELIPE CARRERA</v>
      </c>
      <c r="E73" s="93">
        <f>'3o TRIMESTRE'!E73+15823300.23</f>
        <v>18963293.23</v>
      </c>
      <c r="F73" s="93">
        <f>'3o TRIMESTRE'!F73</f>
        <v>0</v>
      </c>
      <c r="G73" s="19" t="str">
        <f>'3o TRIMESTRE'!G73</f>
        <v>03.608.944/0001-34</v>
      </c>
      <c r="H73" s="19" t="str">
        <f>'3o TRIMESTRE'!H73</f>
        <v>JEPAC CONSTRUCOES LTDA</v>
      </c>
      <c r="I73" s="17" t="str">
        <f>'3o TRIMESTRE'!I73</f>
        <v>6-013/22</v>
      </c>
      <c r="J73" s="35">
        <f>'3o TRIMESTRE'!J73</f>
        <v>44650</v>
      </c>
      <c r="K73" s="17">
        <f>'3o TRIMESTRE'!K73</f>
        <v>150</v>
      </c>
      <c r="L73" s="93">
        <f>'3o TRIMESTRE'!L73</f>
        <v>789983.51</v>
      </c>
      <c r="M73" s="35">
        <f t="shared" ref="M73:M87" si="3">J73+K73+N73</f>
        <v>44800</v>
      </c>
      <c r="N73" s="17">
        <f>'3o TRIMESTRE'!N73</f>
        <v>0</v>
      </c>
      <c r="O73" s="93">
        <f>'3o TRIMESTRE'!O73</f>
        <v>0</v>
      </c>
      <c r="P73" s="93">
        <f>'3o TRIMESTRE'!P73</f>
        <v>0</v>
      </c>
      <c r="Q73" s="17" t="str">
        <f>'3o TRIMESTRE'!Q73</f>
        <v>4.4.90.39</v>
      </c>
      <c r="R73" s="93">
        <f>'3o TRIMESTRE'!R73</f>
        <v>0</v>
      </c>
      <c r="S73" s="93">
        <v>0</v>
      </c>
      <c r="T73" s="93">
        <f>'3o TRIMESTRE'!T73+S73</f>
        <v>0</v>
      </c>
      <c r="U73" s="93" t="e">
        <f>'3o TRIMESTRE'!U73+S73</f>
        <v>#REF!</v>
      </c>
      <c r="V73" s="19" t="s">
        <v>190</v>
      </c>
      <c r="W73" s="10" t="e">
        <f t="shared" ref="W73:W87" si="4">U73-R73</f>
        <v>#REF!</v>
      </c>
      <c r="X73" s="109"/>
      <c r="Y73" s="37"/>
      <c r="Z73" s="37"/>
      <c r="AA73" s="42" t="str">
        <f t="shared" ref="AA73:AA87" si="5">IF(M73&gt;$AA$5,"verdadeiro","Falso")</f>
        <v>verdadeiro</v>
      </c>
    </row>
    <row r="74" spans="1:28" ht="32.15">
      <c r="A74" s="19" t="str">
        <f>'3o TRIMESTRE'!A74</f>
        <v>CONCORRÊNCIA / nº 001/2021</v>
      </c>
      <c r="B74" s="19" t="str">
        <f>'3o TRIMESTRE'!B74</f>
        <v>CONTRATAÇÃO DE EMPRESA SANITÁRIA ESPECIALIZADA PARA A EXECUÇÃO DOS SERVIÇOS DE COLETA E LIMPEZA URBANA NO MUNICÍPIO DO RECIFE. LOTE 1- A</v>
      </c>
      <c r="C74" s="19" t="s">
        <v>155</v>
      </c>
      <c r="D74" s="19">
        <f>'3o TRIMESTRE'!D74</f>
        <v>0</v>
      </c>
      <c r="E74" s="93">
        <f>'3o TRIMESTRE'!E74+15823300.23</f>
        <v>15823300.23</v>
      </c>
      <c r="F74" s="93">
        <f>'3o TRIMESTRE'!F74</f>
        <v>0</v>
      </c>
      <c r="G74" s="19" t="str">
        <f>'3o TRIMESTRE'!G74</f>
        <v>02.536.066/0015-21</v>
      </c>
      <c r="H74" s="19" t="str">
        <f>'3o TRIMESTRE'!H74</f>
        <v>VITAL ENGENHARIA AMBIENTAL S/A</v>
      </c>
      <c r="I74" s="17" t="str">
        <f>'3o TRIMESTRE'!I74</f>
        <v>6-014/22</v>
      </c>
      <c r="J74" s="35">
        <f>'3o TRIMESTRE'!J74</f>
        <v>44649</v>
      </c>
      <c r="K74" s="17">
        <f>'3o TRIMESTRE'!K74</f>
        <v>1825</v>
      </c>
      <c r="L74" s="93">
        <f>'3o TRIMESTRE'!L74</f>
        <v>201897816.06</v>
      </c>
      <c r="M74" s="35">
        <f t="shared" si="3"/>
        <v>46474</v>
      </c>
      <c r="N74" s="17">
        <f>'3o TRIMESTRE'!N74</f>
        <v>0</v>
      </c>
      <c r="O74" s="93">
        <f>'3o TRIMESTRE'!O74</f>
        <v>0</v>
      </c>
      <c r="P74" s="93">
        <f>'3o TRIMESTRE'!P74</f>
        <v>0</v>
      </c>
      <c r="Q74" s="17" t="str">
        <f>'3o TRIMESTRE'!Q74</f>
        <v>3.3.90.39</v>
      </c>
      <c r="R74" s="93">
        <f>'3o TRIMESTRE'!R74</f>
        <v>0</v>
      </c>
      <c r="S74" s="93">
        <v>0</v>
      </c>
      <c r="T74" s="93">
        <f>'3o TRIMESTRE'!T74+S74</f>
        <v>0</v>
      </c>
      <c r="U74" s="93" t="e">
        <f>'3o TRIMESTRE'!U74+S74</f>
        <v>#REF!</v>
      </c>
      <c r="V74" s="19" t="str">
        <f>'3o TRIMESTRE'!V74</f>
        <v>andamento</v>
      </c>
      <c r="W74" s="10" t="e">
        <f t="shared" si="4"/>
        <v>#REF!</v>
      </c>
      <c r="X74" s="109"/>
      <c r="Y74" s="37"/>
      <c r="Z74" s="37"/>
      <c r="AA74" s="42" t="str">
        <f t="shared" si="5"/>
        <v>verdadeiro</v>
      </c>
    </row>
    <row r="75" spans="1:28" ht="32.15">
      <c r="A75" s="19" t="str">
        <f>'3o TRIMESTRE'!A75</f>
        <v>CONCORRÊNCIA / nº 001/2021</v>
      </c>
      <c r="B75" s="19" t="str">
        <f>'3o TRIMESTRE'!B75</f>
        <v>CONTRATAÇÃO DE EMPRESA SANITÁRIA ESPECIALIZADA PARA A EXECUÇÃO DOS SERVIÇOS DE COLETA E LIMPEZA URBANA NO MUNICÍPIO DO RECIFE. LOTE 1-B</v>
      </c>
      <c r="C75" s="19" t="s">
        <v>155</v>
      </c>
      <c r="D75" s="19">
        <f>'3o TRIMESTRE'!D75</f>
        <v>0</v>
      </c>
      <c r="E75" s="93">
        <f>'3o TRIMESTRE'!E75+15823300.23</f>
        <v>15823300.23</v>
      </c>
      <c r="F75" s="93">
        <f>'3o TRIMESTRE'!F75</f>
        <v>0</v>
      </c>
      <c r="G75" s="19" t="str">
        <f>'3o TRIMESTRE'!G75</f>
        <v>12.854.865/0001-02</v>
      </c>
      <c r="H75" s="19" t="str">
        <f>'3o TRIMESTRE'!H75</f>
        <v>COELHO DE ANDRADE ENGENHARIA LTDA</v>
      </c>
      <c r="I75" s="17" t="str">
        <f>'3o TRIMESTRE'!I75</f>
        <v>6-015/22</v>
      </c>
      <c r="J75" s="35">
        <f>'3o TRIMESTRE'!J75</f>
        <v>44649</v>
      </c>
      <c r="K75" s="17">
        <f>'3o TRIMESTRE'!K75</f>
        <v>1825</v>
      </c>
      <c r="L75" s="93">
        <f>'3o TRIMESTRE'!L75</f>
        <v>86512024.75</v>
      </c>
      <c r="M75" s="35">
        <f t="shared" si="3"/>
        <v>46474</v>
      </c>
      <c r="N75" s="17">
        <f>'3o TRIMESTRE'!N75</f>
        <v>0</v>
      </c>
      <c r="O75" s="93">
        <f>'3o TRIMESTRE'!O75</f>
        <v>0</v>
      </c>
      <c r="P75" s="93">
        <f>'3o TRIMESTRE'!P75</f>
        <v>0</v>
      </c>
      <c r="Q75" s="17" t="str">
        <f>'3o TRIMESTRE'!Q75</f>
        <v>3.3.90.39</v>
      </c>
      <c r="R75" s="93">
        <f>'3o TRIMESTRE'!R75</f>
        <v>0</v>
      </c>
      <c r="S75" s="93">
        <v>0</v>
      </c>
      <c r="T75" s="93">
        <f>'3o TRIMESTRE'!T75+S75</f>
        <v>0</v>
      </c>
      <c r="U75" s="93" t="e">
        <f>'3o TRIMESTRE'!U75+S75</f>
        <v>#REF!</v>
      </c>
      <c r="V75" s="19" t="str">
        <f>'3o TRIMESTRE'!V75</f>
        <v>andamento</v>
      </c>
      <c r="W75" s="10" t="e">
        <f t="shared" si="4"/>
        <v>#REF!</v>
      </c>
      <c r="X75" s="109"/>
      <c r="Y75" s="37"/>
      <c r="Z75" s="37"/>
      <c r="AA75" s="42" t="str">
        <f t="shared" si="5"/>
        <v>verdadeiro</v>
      </c>
    </row>
    <row r="76" spans="1:28" ht="32.15">
      <c r="A76" s="19" t="str">
        <f>'3o TRIMESTRE'!A76</f>
        <v>CONCORRÊNCIA / nº 001/2021</v>
      </c>
      <c r="B76" s="19" t="str">
        <f>'3o TRIMESTRE'!B76</f>
        <v>CONTRATAÇÃO DE EMPRESA SANITÁRIA ESPECIALIZADA PARA A EXECUÇÃO DOS SERVIÇOS DE COLETA E LIMPEZA URBANA NO MUNICÍPIO DO RECIFE. LOTE 2- A</v>
      </c>
      <c r="C76" s="19" t="s">
        <v>155</v>
      </c>
      <c r="D76" s="19">
        <f>'3o TRIMESTRE'!D76</f>
        <v>0</v>
      </c>
      <c r="E76" s="93">
        <f>'3o TRIMESTRE'!E76+15823300.23</f>
        <v>15823300.23</v>
      </c>
      <c r="F76" s="93">
        <f>'3o TRIMESTRE'!F76</f>
        <v>0</v>
      </c>
      <c r="G76" s="19" t="str">
        <f>'3o TRIMESTRE'!G76</f>
        <v>02.536.066/0015-21</v>
      </c>
      <c r="H76" s="19" t="str">
        <f>'3o TRIMESTRE'!H76</f>
        <v>VITAL ENGENHARIA AMBIENTAL S/A</v>
      </c>
      <c r="I76" s="17" t="str">
        <f>'3o TRIMESTRE'!I76</f>
        <v>6-016/22</v>
      </c>
      <c r="J76" s="35">
        <f>'3o TRIMESTRE'!J76</f>
        <v>44649</v>
      </c>
      <c r="K76" s="17">
        <f>'3o TRIMESTRE'!K76</f>
        <v>1825</v>
      </c>
      <c r="L76" s="93">
        <f>'3o TRIMESTRE'!L76</f>
        <v>480063123.50999999</v>
      </c>
      <c r="M76" s="35">
        <f t="shared" si="3"/>
        <v>46474</v>
      </c>
      <c r="N76" s="17">
        <f>'3o TRIMESTRE'!N76</f>
        <v>0</v>
      </c>
      <c r="O76" s="93">
        <f>'3o TRIMESTRE'!O76</f>
        <v>0</v>
      </c>
      <c r="P76" s="93">
        <f>'3o TRIMESTRE'!P76</f>
        <v>0</v>
      </c>
      <c r="Q76" s="17" t="str">
        <f>'3o TRIMESTRE'!Q76</f>
        <v>3.3.90.39</v>
      </c>
      <c r="R76" s="93">
        <f>'3o TRIMESTRE'!R76</f>
        <v>0</v>
      </c>
      <c r="S76" s="93">
        <v>0</v>
      </c>
      <c r="T76" s="93">
        <f>'3o TRIMESTRE'!T76+S76</f>
        <v>0</v>
      </c>
      <c r="U76" s="93" t="e">
        <f>'3o TRIMESTRE'!U76+S76</f>
        <v>#REF!</v>
      </c>
      <c r="V76" s="19" t="str">
        <f>'3o TRIMESTRE'!V76</f>
        <v>andamento</v>
      </c>
      <c r="W76" s="10" t="e">
        <f t="shared" si="4"/>
        <v>#REF!</v>
      </c>
      <c r="X76" s="109"/>
      <c r="Y76" s="37"/>
      <c r="Z76" s="37"/>
      <c r="AA76" s="42" t="str">
        <f t="shared" si="5"/>
        <v>verdadeiro</v>
      </c>
    </row>
    <row r="77" spans="1:28" ht="32.15">
      <c r="A77" s="19" t="str">
        <f>'3o TRIMESTRE'!A77</f>
        <v>CONCORRÊNCIA / nº 001/2021</v>
      </c>
      <c r="B77" s="19" t="str">
        <f>'3o TRIMESTRE'!B77</f>
        <v>CONTRATAÇÃO DE EMPRESA SANITÁRIA ESPECIALIZADA PARA A EXECUÇÃO DOS SERVIÇOS DE COLETA E LIMPEZA URBANA NO MUNICÍPIO DO RECIFE. LOTE 2-B</v>
      </c>
      <c r="C77" s="19">
        <v>0</v>
      </c>
      <c r="D77" s="19">
        <f>'3o TRIMESTRE'!D77</f>
        <v>0</v>
      </c>
      <c r="E77" s="93">
        <f>'3o TRIMESTRE'!E77</f>
        <v>0</v>
      </c>
      <c r="F77" s="93">
        <f>'3o TRIMESTRE'!F77</f>
        <v>0</v>
      </c>
      <c r="G77" s="19" t="str">
        <f>'3o TRIMESTRE'!G77</f>
        <v>12.854.865/0001-02</v>
      </c>
      <c r="H77" s="19" t="str">
        <f>'3o TRIMESTRE'!H77</f>
        <v>COELHO DE ANDRADE ENGENHARIA LTDA</v>
      </c>
      <c r="I77" s="17" t="str">
        <f>'3o TRIMESTRE'!I77</f>
        <v>6-017/22</v>
      </c>
      <c r="J77" s="35">
        <f>'3o TRIMESTRE'!J77</f>
        <v>44649</v>
      </c>
      <c r="K77" s="17">
        <f>'3o TRIMESTRE'!K77</f>
        <v>1825</v>
      </c>
      <c r="L77" s="93">
        <f>'3o TRIMESTRE'!L77</f>
        <v>205730360.58000001</v>
      </c>
      <c r="M77" s="35">
        <f t="shared" si="3"/>
        <v>46474</v>
      </c>
      <c r="N77" s="17">
        <f>'3o TRIMESTRE'!N77</f>
        <v>0</v>
      </c>
      <c r="O77" s="93">
        <f>'3o TRIMESTRE'!O77+82719.18</f>
        <v>82719.179999999993</v>
      </c>
      <c r="P77" s="93">
        <f>'3o TRIMESTRE'!P77</f>
        <v>0</v>
      </c>
      <c r="Q77" s="17" t="str">
        <f>'3o TRIMESTRE'!Q77</f>
        <v>3.3.90.39</v>
      </c>
      <c r="R77" s="93">
        <f>'3o TRIMESTRE'!R77+140193.8</f>
        <v>209287.19</v>
      </c>
      <c r="S77" s="93">
        <v>140193.79999999999</v>
      </c>
      <c r="T77" s="93">
        <f>'3o TRIMESTRE'!T77+S77</f>
        <v>209287.19</v>
      </c>
      <c r="U77" s="93" t="e">
        <f>'3o TRIMESTRE'!U77+S77</f>
        <v>#REF!</v>
      </c>
      <c r="V77" s="19" t="str">
        <f>'3o TRIMESTRE'!V77</f>
        <v>andamento</v>
      </c>
      <c r="W77" s="10" t="e">
        <f t="shared" si="4"/>
        <v>#REF!</v>
      </c>
      <c r="X77" s="109"/>
      <c r="Y77" s="37"/>
      <c r="Z77" s="37"/>
      <c r="AA77" s="42" t="str">
        <f t="shared" si="5"/>
        <v>verdadeiro</v>
      </c>
    </row>
    <row r="78" spans="1:28" ht="53.6">
      <c r="A78" s="19" t="str">
        <f>'3o TRIMESTRE'!A78</f>
        <v>CONCORRÊNCIA / nº 021/2021</v>
      </c>
      <c r="B78" s="19" t="str">
        <f>'3o TRIMESTRE'!B78</f>
        <v>CONTRATAÇÃO DE EMPRESA DE ENGENHARIA, ESPECIALIZADA EM ILUMINAÇÃO PÚBLICA, PARA FORNECIMENTO E INSTALAÇÃO DE LUMINÁRIAS RGB COM TECNOLOGIA LED E REDE ELÉTRICA, PARA ILUMINAÇÃO CÊNICA, DO TEATRO SANTA IZABEL BAIRRO SANTO ANTÔNIO</v>
      </c>
      <c r="C78" s="19">
        <v>0</v>
      </c>
      <c r="D78" s="19" t="str">
        <f>'3o TRIMESTRE'!D78</f>
        <v>FINISA</v>
      </c>
      <c r="E78" s="93">
        <f>'3o TRIMESTRE'!E78</f>
        <v>50000000</v>
      </c>
      <c r="F78" s="93">
        <f>'3o TRIMESTRE'!F78</f>
        <v>0</v>
      </c>
      <c r="G78" s="19" t="str">
        <f>'3o TRIMESTRE'!G78</f>
        <v>01.346.561/0001-00</v>
      </c>
      <c r="H78" s="19" t="str">
        <f>'3o TRIMESTRE'!H78</f>
        <v>VASCONCELOS E SANTOS LTDA</v>
      </c>
      <c r="I78" s="17" t="str">
        <f>'3o TRIMESTRE'!I78</f>
        <v>6-019/22</v>
      </c>
      <c r="J78" s="35">
        <f>'3o TRIMESTRE'!J78</f>
        <v>44651</v>
      </c>
      <c r="K78" s="17">
        <f>'3o TRIMESTRE'!K78</f>
        <v>150</v>
      </c>
      <c r="L78" s="93">
        <f>'3o TRIMESTRE'!L78</f>
        <v>306496.2</v>
      </c>
      <c r="M78" s="35">
        <f t="shared" si="3"/>
        <v>44801</v>
      </c>
      <c r="N78" s="17">
        <f>'3o TRIMESTRE'!N78</f>
        <v>0</v>
      </c>
      <c r="O78" s="93">
        <f>'3o TRIMESTRE'!O78</f>
        <v>0</v>
      </c>
      <c r="P78" s="93">
        <f>'3o TRIMESTRE'!P78</f>
        <v>0</v>
      </c>
      <c r="Q78" s="17" t="str">
        <f>'3o TRIMESTRE'!Q78</f>
        <v>4.4.90.39</v>
      </c>
      <c r="R78" s="93">
        <f>'3o TRIMESTRE'!R78+228370.4</f>
        <v>402657.70999999996</v>
      </c>
      <c r="S78" s="93">
        <v>171253.76000000001</v>
      </c>
      <c r="T78" s="93">
        <f>'3o TRIMESTRE'!T78+S78</f>
        <v>345541.07</v>
      </c>
      <c r="U78" s="93" t="e">
        <f>'3o TRIMESTRE'!U78+S78</f>
        <v>#REF!</v>
      </c>
      <c r="V78" s="19" t="str">
        <f>'3o TRIMESTRE'!V78</f>
        <v>cadastrado</v>
      </c>
      <c r="W78" s="10" t="e">
        <f t="shared" si="4"/>
        <v>#REF!</v>
      </c>
      <c r="X78" s="109">
        <v>57116.639999999999</v>
      </c>
      <c r="Y78" s="37" t="e">
        <f>W78+X78</f>
        <v>#REF!</v>
      </c>
      <c r="Z78" s="37"/>
      <c r="AA78" s="42" t="str">
        <f t="shared" si="5"/>
        <v>verdadeiro</v>
      </c>
    </row>
    <row r="79" spans="1:28">
      <c r="A79" s="19" t="e">
        <f>'3o TRIMESTRE'!A79</f>
        <v>#REF!</v>
      </c>
      <c r="B79" s="19" t="e">
        <f>'3o TRIMESTRE'!B79</f>
        <v>#REF!</v>
      </c>
      <c r="C79" s="19">
        <v>0</v>
      </c>
      <c r="D79" s="19" t="e">
        <f>'3o TRIMESTRE'!D79</f>
        <v>#REF!</v>
      </c>
      <c r="E79" s="93" t="e">
        <f>'3o TRIMESTRE'!E79</f>
        <v>#REF!</v>
      </c>
      <c r="F79" s="93" t="e">
        <f>'3o TRIMESTRE'!F79</f>
        <v>#REF!</v>
      </c>
      <c r="G79" s="19" t="e">
        <f>'3o TRIMESTRE'!G79</f>
        <v>#REF!</v>
      </c>
      <c r="H79" s="19" t="e">
        <f>'3o TRIMESTRE'!H79</f>
        <v>#REF!</v>
      </c>
      <c r="I79" s="17" t="e">
        <f>'3o TRIMESTRE'!I79</f>
        <v>#REF!</v>
      </c>
      <c r="J79" s="35" t="e">
        <f>'3o TRIMESTRE'!J79</f>
        <v>#REF!</v>
      </c>
      <c r="K79" s="17" t="e">
        <f>'3o TRIMESTRE'!K79</f>
        <v>#REF!</v>
      </c>
      <c r="L79" s="93" t="e">
        <f>'3o TRIMESTRE'!L79</f>
        <v>#REF!</v>
      </c>
      <c r="M79" s="35" t="e">
        <f t="shared" si="3"/>
        <v>#REF!</v>
      </c>
      <c r="N79" s="17" t="e">
        <f>'3o TRIMESTRE'!N79</f>
        <v>#REF!</v>
      </c>
      <c r="O79" s="93" t="e">
        <f>'3o TRIMESTRE'!O79</f>
        <v>#REF!</v>
      </c>
      <c r="P79" s="93" t="e">
        <f>'3o TRIMESTRE'!P79</f>
        <v>#REF!</v>
      </c>
      <c r="Q79" s="17" t="e">
        <f>'3o TRIMESTRE'!Q79</f>
        <v>#REF!</v>
      </c>
      <c r="R79" s="93" t="e">
        <f>'3o TRIMESTRE'!R79</f>
        <v>#REF!</v>
      </c>
      <c r="S79" s="93">
        <v>0</v>
      </c>
      <c r="T79" s="93" t="e">
        <f>'3o TRIMESTRE'!T79+S79</f>
        <v>#REF!</v>
      </c>
      <c r="U79" s="93" t="e">
        <f>'3o TRIMESTRE'!U79+S79</f>
        <v>#REF!</v>
      </c>
      <c r="V79" s="19" t="e">
        <f>'3o TRIMESTRE'!V79</f>
        <v>#REF!</v>
      </c>
      <c r="W79" s="10" t="e">
        <f t="shared" si="4"/>
        <v>#REF!</v>
      </c>
      <c r="X79" s="109"/>
      <c r="Y79" s="37"/>
      <c r="Z79" s="37"/>
      <c r="AA79" s="42" t="e">
        <f t="shared" si="5"/>
        <v>#REF!</v>
      </c>
    </row>
    <row r="80" spans="1:28">
      <c r="A80" s="19" t="e">
        <f>'3o TRIMESTRE'!A80</f>
        <v>#REF!</v>
      </c>
      <c r="B80" s="19" t="e">
        <f>'3o TRIMESTRE'!B80</f>
        <v>#REF!</v>
      </c>
      <c r="C80" s="19" t="s">
        <v>155</v>
      </c>
      <c r="D80" s="19" t="e">
        <f>'3o TRIMESTRE'!D80</f>
        <v>#REF!</v>
      </c>
      <c r="E80" s="93" t="e">
        <f>'3o TRIMESTRE'!E80+15823300.23</f>
        <v>#REF!</v>
      </c>
      <c r="F80" s="93" t="e">
        <f>'3o TRIMESTRE'!F80</f>
        <v>#REF!</v>
      </c>
      <c r="G80" s="19" t="e">
        <f>'3o TRIMESTRE'!G80</f>
        <v>#REF!</v>
      </c>
      <c r="H80" s="19" t="e">
        <f>'3o TRIMESTRE'!H80</f>
        <v>#REF!</v>
      </c>
      <c r="I80" s="17" t="e">
        <f>'3o TRIMESTRE'!I80</f>
        <v>#REF!</v>
      </c>
      <c r="J80" s="35" t="e">
        <f>'3o TRIMESTRE'!J80</f>
        <v>#REF!</v>
      </c>
      <c r="K80" s="17" t="e">
        <f>'3o TRIMESTRE'!K80</f>
        <v>#REF!</v>
      </c>
      <c r="L80" s="93" t="e">
        <f>'3o TRIMESTRE'!L80</f>
        <v>#REF!</v>
      </c>
      <c r="M80" s="35" t="e">
        <f t="shared" si="3"/>
        <v>#REF!</v>
      </c>
      <c r="N80" s="17" t="e">
        <f>'3o TRIMESTRE'!N80</f>
        <v>#REF!</v>
      </c>
      <c r="O80" s="93" t="e">
        <f>'3o TRIMESTRE'!O80</f>
        <v>#REF!</v>
      </c>
      <c r="P80" s="93" t="e">
        <f>'3o TRIMESTRE'!P80</f>
        <v>#REF!</v>
      </c>
      <c r="Q80" s="17" t="e">
        <f>'3o TRIMESTRE'!Q80</f>
        <v>#REF!</v>
      </c>
      <c r="R80" s="93" t="e">
        <f>'3o TRIMESTRE'!R80+231069.47</f>
        <v>#REF!</v>
      </c>
      <c r="S80" s="93">
        <v>231069.47</v>
      </c>
      <c r="T80" s="93" t="e">
        <f>'3o TRIMESTRE'!T80+S80</f>
        <v>#REF!</v>
      </c>
      <c r="U80" s="93" t="e">
        <f>'3o TRIMESTRE'!U80+S80</f>
        <v>#REF!</v>
      </c>
      <c r="V80" s="19" t="e">
        <f>'3o TRIMESTRE'!V80</f>
        <v>#REF!</v>
      </c>
      <c r="W80" s="10" t="e">
        <f t="shared" si="4"/>
        <v>#REF!</v>
      </c>
      <c r="X80" s="109"/>
      <c r="Y80" s="37"/>
      <c r="Z80" s="37"/>
      <c r="AA80" s="42" t="e">
        <f t="shared" si="5"/>
        <v>#REF!</v>
      </c>
    </row>
    <row r="81" spans="1:27">
      <c r="A81" s="19" t="e">
        <f>'3o TRIMESTRE'!A81</f>
        <v>#REF!</v>
      </c>
      <c r="B81" s="19" t="e">
        <f>'3o TRIMESTRE'!B81</f>
        <v>#REF!</v>
      </c>
      <c r="C81" s="19" t="s">
        <v>155</v>
      </c>
      <c r="D81" s="19" t="e">
        <f>'3o TRIMESTRE'!D81</f>
        <v>#REF!</v>
      </c>
      <c r="E81" s="93" t="e">
        <f>'3o TRIMESTRE'!E81+15823300.23</f>
        <v>#REF!</v>
      </c>
      <c r="F81" s="93" t="e">
        <f>'3o TRIMESTRE'!F81</f>
        <v>#REF!</v>
      </c>
      <c r="G81" s="19" t="e">
        <f>'3o TRIMESTRE'!G81</f>
        <v>#REF!</v>
      </c>
      <c r="H81" s="19" t="e">
        <f>'3o TRIMESTRE'!H81</f>
        <v>#REF!</v>
      </c>
      <c r="I81" s="17" t="e">
        <f>'3o TRIMESTRE'!I81</f>
        <v>#REF!</v>
      </c>
      <c r="J81" s="35" t="e">
        <f>'3o TRIMESTRE'!J81</f>
        <v>#REF!</v>
      </c>
      <c r="K81" s="17" t="e">
        <f>'3o TRIMESTRE'!K81</f>
        <v>#REF!</v>
      </c>
      <c r="L81" s="93" t="e">
        <f>'3o TRIMESTRE'!L81</f>
        <v>#REF!</v>
      </c>
      <c r="M81" s="35" t="e">
        <f t="shared" si="3"/>
        <v>#REF!</v>
      </c>
      <c r="N81" s="17" t="e">
        <f>'3o TRIMESTRE'!N81</f>
        <v>#REF!</v>
      </c>
      <c r="O81" s="93" t="e">
        <f>'3o TRIMESTRE'!O81+50879.67</f>
        <v>#REF!</v>
      </c>
      <c r="P81" s="93" t="e">
        <f>'3o TRIMESTRE'!P81</f>
        <v>#REF!</v>
      </c>
      <c r="Q81" s="17" t="e">
        <f>'3o TRIMESTRE'!Q81</f>
        <v>#REF!</v>
      </c>
      <c r="R81" s="93" t="e">
        <f>'3o TRIMESTRE'!R81+66157.26</f>
        <v>#REF!</v>
      </c>
      <c r="S81" s="93">
        <v>66157.259999999995</v>
      </c>
      <c r="T81" s="93" t="e">
        <f>'3o TRIMESTRE'!T81+S81</f>
        <v>#REF!</v>
      </c>
      <c r="U81" s="93" t="e">
        <f>'3o TRIMESTRE'!U81+S81</f>
        <v>#REF!</v>
      </c>
      <c r="V81" s="19" t="s">
        <v>190</v>
      </c>
      <c r="W81" s="10" t="e">
        <f t="shared" si="4"/>
        <v>#REF!</v>
      </c>
      <c r="X81" s="109"/>
      <c r="Y81" s="37"/>
      <c r="Z81" s="37"/>
      <c r="AA81" s="42" t="e">
        <f t="shared" si="5"/>
        <v>#REF!</v>
      </c>
    </row>
    <row r="82" spans="1:27" ht="32.15">
      <c r="A82" s="19" t="e">
        <f>'3o TRIMESTRE'!A82</f>
        <v>#REF!</v>
      </c>
      <c r="B82" s="19" t="e">
        <f>'3o TRIMESTRE'!B82</f>
        <v>#REF!</v>
      </c>
      <c r="C82" s="19">
        <v>0</v>
      </c>
      <c r="D82" s="19" t="e">
        <f>'3o TRIMESTRE'!D82</f>
        <v>#REF!</v>
      </c>
      <c r="E82" s="93" t="e">
        <f>'3o TRIMESTRE'!E82</f>
        <v>#REF!</v>
      </c>
      <c r="F82" s="93" t="e">
        <f>'3o TRIMESTRE'!F82</f>
        <v>#REF!</v>
      </c>
      <c r="G82" s="19" t="e">
        <f>'3o TRIMESTRE'!G82</f>
        <v>#REF!</v>
      </c>
      <c r="H82" s="19" t="e">
        <f>'3o TRIMESTRE'!H82</f>
        <v>#REF!</v>
      </c>
      <c r="I82" s="17" t="e">
        <f>'3o TRIMESTRE'!I82</f>
        <v>#REF!</v>
      </c>
      <c r="J82" s="35" t="e">
        <f>'3o TRIMESTRE'!J82</f>
        <v>#REF!</v>
      </c>
      <c r="K82" s="17" t="e">
        <f>'3o TRIMESTRE'!K82</f>
        <v>#REF!</v>
      </c>
      <c r="L82" s="93" t="e">
        <f>'3o TRIMESTRE'!L82</f>
        <v>#REF!</v>
      </c>
      <c r="M82" s="35" t="e">
        <f t="shared" si="3"/>
        <v>#REF!</v>
      </c>
      <c r="N82" s="17" t="e">
        <f>'3o TRIMESTRE'!N82</f>
        <v>#REF!</v>
      </c>
      <c r="O82" s="93" t="e">
        <f>'3o TRIMESTRE'!O82</f>
        <v>#REF!</v>
      </c>
      <c r="P82" s="93" t="e">
        <f>'3o TRIMESTRE'!P82</f>
        <v>#REF!</v>
      </c>
      <c r="Q82" s="17" t="e">
        <f>'3o TRIMESTRE'!Q82</f>
        <v>#REF!</v>
      </c>
      <c r="R82" s="93" t="e">
        <f>'3o TRIMESTRE'!R82+1836737.25</f>
        <v>#REF!</v>
      </c>
      <c r="S82" s="93">
        <v>1836737.2500000002</v>
      </c>
      <c r="T82" s="93" t="e">
        <f>'3o TRIMESTRE'!T82+S82</f>
        <v>#REF!</v>
      </c>
      <c r="U82" s="93" t="e">
        <f>'3o TRIMESTRE'!U82+S82</f>
        <v>#REF!</v>
      </c>
      <c r="V82" s="19" t="e">
        <f>'3o TRIMESTRE'!V82</f>
        <v>#REF!</v>
      </c>
      <c r="W82" s="10" t="e">
        <f t="shared" si="4"/>
        <v>#REF!</v>
      </c>
      <c r="X82" s="114">
        <v>97853.63</v>
      </c>
      <c r="Y82" s="37" t="e">
        <f>W82+X82</f>
        <v>#REF!</v>
      </c>
      <c r="Z82" s="37" t="s">
        <v>270</v>
      </c>
      <c r="AA82" s="42" t="e">
        <f t="shared" si="5"/>
        <v>#REF!</v>
      </c>
    </row>
    <row r="83" spans="1:27">
      <c r="A83" s="19" t="e">
        <f>'3o TRIMESTRE'!A83</f>
        <v>#REF!</v>
      </c>
      <c r="B83" s="19" t="e">
        <f>'3o TRIMESTRE'!B83</f>
        <v>#REF!</v>
      </c>
      <c r="C83" s="19">
        <v>0</v>
      </c>
      <c r="D83" s="19" t="e">
        <f>'3o TRIMESTRE'!D83</f>
        <v>#REF!</v>
      </c>
      <c r="E83" s="93" t="e">
        <f>'3o TRIMESTRE'!E83</f>
        <v>#REF!</v>
      </c>
      <c r="F83" s="93" t="e">
        <f>'3o TRIMESTRE'!F83</f>
        <v>#REF!</v>
      </c>
      <c r="G83" s="19" t="e">
        <f>'3o TRIMESTRE'!G83</f>
        <v>#REF!</v>
      </c>
      <c r="H83" s="19" t="e">
        <f>'3o TRIMESTRE'!H83</f>
        <v>#REF!</v>
      </c>
      <c r="I83" s="17" t="e">
        <f>'3o TRIMESTRE'!I83</f>
        <v>#REF!</v>
      </c>
      <c r="J83" s="35" t="e">
        <f>'3o TRIMESTRE'!J83</f>
        <v>#REF!</v>
      </c>
      <c r="K83" s="17" t="e">
        <f>'3o TRIMESTRE'!K83</f>
        <v>#REF!</v>
      </c>
      <c r="L83" s="93" t="e">
        <f>'3o TRIMESTRE'!L83</f>
        <v>#REF!</v>
      </c>
      <c r="M83" s="35" t="e">
        <f t="shared" si="3"/>
        <v>#REF!</v>
      </c>
      <c r="N83" s="17" t="e">
        <f>'3o TRIMESTRE'!N83</f>
        <v>#REF!</v>
      </c>
      <c r="O83" s="93" t="e">
        <f>'3o TRIMESTRE'!O83</f>
        <v>#REF!</v>
      </c>
      <c r="P83" s="93" t="e">
        <f>'3o TRIMESTRE'!P83</f>
        <v>#REF!</v>
      </c>
      <c r="Q83" s="17" t="e">
        <f>'3o TRIMESTRE'!Q83</f>
        <v>#REF!</v>
      </c>
      <c r="R83" s="93" t="e">
        <f>'3o TRIMESTRE'!R83</f>
        <v>#REF!</v>
      </c>
      <c r="S83" s="93">
        <v>0</v>
      </c>
      <c r="T83" s="93" t="e">
        <f>'3o TRIMESTRE'!T83+S83</f>
        <v>#REF!</v>
      </c>
      <c r="U83" s="93" t="e">
        <f>'3o TRIMESTRE'!U83+S83</f>
        <v>#REF!</v>
      </c>
      <c r="V83" s="19" t="e">
        <f>'3o TRIMESTRE'!V83</f>
        <v>#REF!</v>
      </c>
      <c r="W83" s="10" t="e">
        <f t="shared" si="4"/>
        <v>#REF!</v>
      </c>
      <c r="X83" s="109"/>
      <c r="Y83" s="37"/>
      <c r="Z83" s="37"/>
      <c r="AA83" s="42" t="e">
        <f t="shared" si="5"/>
        <v>#REF!</v>
      </c>
    </row>
    <row r="84" spans="1:27">
      <c r="A84" s="19" t="e">
        <f>'3o TRIMESTRE'!A84</f>
        <v>#REF!</v>
      </c>
      <c r="B84" s="19" t="e">
        <f>'3o TRIMESTRE'!B84</f>
        <v>#REF!</v>
      </c>
      <c r="C84" s="19">
        <v>0</v>
      </c>
      <c r="D84" s="19" t="e">
        <f>'3o TRIMESTRE'!D84</f>
        <v>#REF!</v>
      </c>
      <c r="E84" s="93" t="e">
        <f>'3o TRIMESTRE'!E84</f>
        <v>#REF!</v>
      </c>
      <c r="F84" s="93" t="e">
        <f>'3o TRIMESTRE'!F84</f>
        <v>#REF!</v>
      </c>
      <c r="G84" s="19" t="e">
        <f>'3o TRIMESTRE'!G84</f>
        <v>#REF!</v>
      </c>
      <c r="H84" s="19" t="e">
        <f>'3o TRIMESTRE'!H84</f>
        <v>#REF!</v>
      </c>
      <c r="I84" s="17" t="e">
        <f>'3o TRIMESTRE'!I84</f>
        <v>#REF!</v>
      </c>
      <c r="J84" s="35" t="e">
        <f>'3o TRIMESTRE'!J84</f>
        <v>#REF!</v>
      </c>
      <c r="K84" s="17" t="e">
        <f>'3o TRIMESTRE'!K84</f>
        <v>#REF!</v>
      </c>
      <c r="L84" s="93" t="e">
        <f>'3o TRIMESTRE'!L84</f>
        <v>#REF!</v>
      </c>
      <c r="M84" s="35" t="e">
        <f t="shared" si="3"/>
        <v>#REF!</v>
      </c>
      <c r="N84" s="17" t="e">
        <f>'3o TRIMESTRE'!N84+90</f>
        <v>#REF!</v>
      </c>
      <c r="O84" s="93" t="e">
        <f>'3o TRIMESTRE'!O84</f>
        <v>#REF!</v>
      </c>
      <c r="P84" s="93" t="e">
        <f>'3o TRIMESTRE'!P84</f>
        <v>#REF!</v>
      </c>
      <c r="Q84" s="17" t="e">
        <f>'3o TRIMESTRE'!Q84</f>
        <v>#REF!</v>
      </c>
      <c r="R84" s="93" t="e">
        <f>'3o TRIMESTRE'!R84+450810.94</f>
        <v>#REF!</v>
      </c>
      <c r="S84" s="93">
        <v>450810.94</v>
      </c>
      <c r="T84" s="93" t="e">
        <f>'3o TRIMESTRE'!T84+S84</f>
        <v>#REF!</v>
      </c>
      <c r="U84" s="93" t="e">
        <f>'3o TRIMESTRE'!U84+S84</f>
        <v>#REF!</v>
      </c>
      <c r="V84" s="19" t="e">
        <f>'3o TRIMESTRE'!V84</f>
        <v>#REF!</v>
      </c>
      <c r="W84" s="10" t="e">
        <f t="shared" si="4"/>
        <v>#REF!</v>
      </c>
      <c r="X84" s="109"/>
      <c r="Y84" s="37"/>
      <c r="Z84" s="37"/>
      <c r="AA84" s="42" t="e">
        <f t="shared" si="5"/>
        <v>#REF!</v>
      </c>
    </row>
    <row r="85" spans="1:27">
      <c r="A85" s="19" t="e">
        <f>'3o TRIMESTRE'!A85</f>
        <v>#REF!</v>
      </c>
      <c r="B85" s="19" t="e">
        <f>'3o TRIMESTRE'!B85</f>
        <v>#REF!</v>
      </c>
      <c r="C85" s="19">
        <v>0</v>
      </c>
      <c r="D85" s="19" t="e">
        <f>'3o TRIMESTRE'!D85</f>
        <v>#REF!</v>
      </c>
      <c r="E85" s="93" t="e">
        <f>'3o TRIMESTRE'!E85</f>
        <v>#REF!</v>
      </c>
      <c r="F85" s="93" t="e">
        <f>'3o TRIMESTRE'!F85</f>
        <v>#REF!</v>
      </c>
      <c r="G85" s="19" t="e">
        <f>'3o TRIMESTRE'!G85</f>
        <v>#REF!</v>
      </c>
      <c r="H85" s="19" t="e">
        <f>'3o TRIMESTRE'!H85</f>
        <v>#REF!</v>
      </c>
      <c r="I85" s="17" t="e">
        <f>'3o TRIMESTRE'!I85</f>
        <v>#REF!</v>
      </c>
      <c r="J85" s="35" t="e">
        <f>'3o TRIMESTRE'!J85</f>
        <v>#REF!</v>
      </c>
      <c r="K85" s="17" t="e">
        <f>'3o TRIMESTRE'!K85</f>
        <v>#REF!</v>
      </c>
      <c r="L85" s="93" t="e">
        <f>'3o TRIMESTRE'!L85</f>
        <v>#REF!</v>
      </c>
      <c r="M85" s="35" t="e">
        <f t="shared" si="3"/>
        <v>#REF!</v>
      </c>
      <c r="N85" s="17" t="e">
        <f>'3o TRIMESTRE'!N85</f>
        <v>#REF!</v>
      </c>
      <c r="O85" s="93" t="e">
        <f>'3o TRIMESTRE'!O85+50912.03</f>
        <v>#REF!</v>
      </c>
      <c r="P85" s="93" t="e">
        <f>'3o TRIMESTRE'!P85</f>
        <v>#REF!</v>
      </c>
      <c r="Q85" s="17" t="e">
        <f>'3o TRIMESTRE'!Q85</f>
        <v>#REF!</v>
      </c>
      <c r="R85" s="93" t="e">
        <f>'3o TRIMESTRE'!R85+275434.18</f>
        <v>#REF!</v>
      </c>
      <c r="S85" s="93">
        <v>275434.18</v>
      </c>
      <c r="T85" s="93" t="e">
        <f>'3o TRIMESTRE'!T85+S85</f>
        <v>#REF!</v>
      </c>
      <c r="U85" s="93" t="e">
        <f>'3o TRIMESTRE'!U85+S85</f>
        <v>#REF!</v>
      </c>
      <c r="V85" s="19" t="s">
        <v>190</v>
      </c>
      <c r="W85" s="10" t="e">
        <f t="shared" si="4"/>
        <v>#REF!</v>
      </c>
      <c r="X85" s="109"/>
      <c r="Y85" s="37"/>
      <c r="Z85" s="37"/>
      <c r="AA85" s="42" t="e">
        <f t="shared" si="5"/>
        <v>#REF!</v>
      </c>
    </row>
    <row r="86" spans="1:27">
      <c r="A86" s="19" t="e">
        <f>'3o TRIMESTRE'!A86</f>
        <v>#REF!</v>
      </c>
      <c r="B86" s="19" t="e">
        <f>'3o TRIMESTRE'!B86</f>
        <v>#REF!</v>
      </c>
      <c r="C86" s="19">
        <v>0</v>
      </c>
      <c r="D86" s="19" t="e">
        <f>'3o TRIMESTRE'!D86</f>
        <v>#REF!</v>
      </c>
      <c r="E86" s="93" t="e">
        <f>'3o TRIMESTRE'!E86</f>
        <v>#REF!</v>
      </c>
      <c r="F86" s="93" t="e">
        <f>'3o TRIMESTRE'!F86</f>
        <v>#REF!</v>
      </c>
      <c r="G86" s="19" t="e">
        <f>'3o TRIMESTRE'!G86</f>
        <v>#REF!</v>
      </c>
      <c r="H86" s="19" t="e">
        <f>'3o TRIMESTRE'!H86</f>
        <v>#REF!</v>
      </c>
      <c r="I86" s="17" t="e">
        <f>'3o TRIMESTRE'!I86</f>
        <v>#REF!</v>
      </c>
      <c r="J86" s="35" t="e">
        <f>'3o TRIMESTRE'!J86</f>
        <v>#REF!</v>
      </c>
      <c r="K86" s="17" t="e">
        <f>'3o TRIMESTRE'!K86</f>
        <v>#REF!</v>
      </c>
      <c r="L86" s="93" t="e">
        <f>'3o TRIMESTRE'!L86</f>
        <v>#REF!</v>
      </c>
      <c r="M86" s="35" t="e">
        <f t="shared" si="3"/>
        <v>#REF!</v>
      </c>
      <c r="N86" s="17" t="e">
        <f>'3o TRIMESTRE'!N86</f>
        <v>#REF!</v>
      </c>
      <c r="O86" s="93" t="e">
        <f>'3o TRIMESTRE'!O86+107578.46</f>
        <v>#REF!</v>
      </c>
      <c r="P86" s="93" t="e">
        <f>'3o TRIMESTRE'!P86</f>
        <v>#REF!</v>
      </c>
      <c r="Q86" s="17" t="e">
        <f>'3o TRIMESTRE'!Q86</f>
        <v>#REF!</v>
      </c>
      <c r="R86" s="93" t="e">
        <f>'3o TRIMESTRE'!R86+215156.92</f>
        <v>#REF!</v>
      </c>
      <c r="S86" s="93">
        <v>215156.92</v>
      </c>
      <c r="T86" s="93" t="e">
        <f>'3o TRIMESTRE'!T86+S86</f>
        <v>#REF!</v>
      </c>
      <c r="U86" s="93" t="e">
        <f>'3o TRIMESTRE'!U86+S86</f>
        <v>#REF!</v>
      </c>
      <c r="V86" s="19" t="s">
        <v>190</v>
      </c>
      <c r="W86" s="10" t="e">
        <f t="shared" si="4"/>
        <v>#REF!</v>
      </c>
      <c r="X86" s="109"/>
      <c r="Y86" s="37"/>
      <c r="Z86" s="37"/>
      <c r="AA86" s="42" t="e">
        <f t="shared" si="5"/>
        <v>#REF!</v>
      </c>
    </row>
    <row r="87" spans="1:27">
      <c r="A87" s="19" t="e">
        <f>'3o TRIMESTRE'!A87</f>
        <v>#REF!</v>
      </c>
      <c r="B87" s="19" t="e">
        <f>'3o TRIMESTRE'!B87</f>
        <v>#REF!</v>
      </c>
      <c r="C87" s="19">
        <v>0</v>
      </c>
      <c r="D87" s="19" t="e">
        <f>'3o TRIMESTRE'!D87</f>
        <v>#REF!</v>
      </c>
      <c r="E87" s="93" t="e">
        <f>'3o TRIMESTRE'!E87</f>
        <v>#REF!</v>
      </c>
      <c r="F87" s="93" t="e">
        <f>'3o TRIMESTRE'!F87</f>
        <v>#REF!</v>
      </c>
      <c r="G87" s="19" t="e">
        <f>'3o TRIMESTRE'!G87</f>
        <v>#REF!</v>
      </c>
      <c r="H87" s="19" t="e">
        <f>'3o TRIMESTRE'!H87</f>
        <v>#REF!</v>
      </c>
      <c r="I87" s="17" t="e">
        <f>'3o TRIMESTRE'!I87</f>
        <v>#REF!</v>
      </c>
      <c r="J87" s="35" t="e">
        <f>'3o TRIMESTRE'!J87</f>
        <v>#REF!</v>
      </c>
      <c r="K87" s="17" t="e">
        <f>'3o TRIMESTRE'!K87</f>
        <v>#REF!</v>
      </c>
      <c r="L87" s="93" t="e">
        <f>'3o TRIMESTRE'!L87</f>
        <v>#REF!</v>
      </c>
      <c r="M87" s="35" t="e">
        <f t="shared" si="3"/>
        <v>#REF!</v>
      </c>
      <c r="N87" s="17" t="e">
        <f>'3o TRIMESTRE'!N87</f>
        <v>#REF!</v>
      </c>
      <c r="O87" s="93" t="e">
        <f>'3o TRIMESTRE'!O87</f>
        <v>#REF!</v>
      </c>
      <c r="P87" s="93" t="e">
        <f>'3o TRIMESTRE'!P87</f>
        <v>#REF!</v>
      </c>
      <c r="Q87" s="17" t="e">
        <f>'3o TRIMESTRE'!Q87</f>
        <v>#REF!</v>
      </c>
      <c r="R87" s="93" t="e">
        <f>'3o TRIMESTRE'!R87+80854.6</f>
        <v>#REF!</v>
      </c>
      <c r="S87" s="93">
        <v>80854.600000000006</v>
      </c>
      <c r="T87" s="93" t="e">
        <f>'3o TRIMESTRE'!T87+S87</f>
        <v>#REF!</v>
      </c>
      <c r="U87" s="93" t="e">
        <f>'3o TRIMESTRE'!U87+S87</f>
        <v>#REF!</v>
      </c>
      <c r="V87" s="19" t="s">
        <v>190</v>
      </c>
      <c r="W87" s="10" t="e">
        <f t="shared" si="4"/>
        <v>#REF!</v>
      </c>
      <c r="X87" s="109"/>
      <c r="Y87" s="37"/>
      <c r="Z87" s="37"/>
      <c r="AA87" s="42" t="e">
        <f t="shared" si="5"/>
        <v>#REF!</v>
      </c>
    </row>
  </sheetData>
  <autoFilter ref="A7:AC87"/>
  <mergeCells count="20">
    <mergeCell ref="Q6:U6"/>
    <mergeCell ref="N6:O6"/>
    <mergeCell ref="V6:V7"/>
    <mergeCell ref="A6:A7"/>
    <mergeCell ref="B6:B7"/>
    <mergeCell ref="G6:H6"/>
    <mergeCell ref="C6:F6"/>
    <mergeCell ref="I6:M6"/>
    <mergeCell ref="A5:C5"/>
    <mergeCell ref="F5:H5"/>
    <mergeCell ref="J5:O5"/>
    <mergeCell ref="Q5:V5"/>
    <mergeCell ref="J4:O4"/>
    <mergeCell ref="Q4:V4"/>
    <mergeCell ref="F4:H4"/>
    <mergeCell ref="A1:V1"/>
    <mergeCell ref="A2:F2"/>
    <mergeCell ref="G2:V2"/>
    <mergeCell ref="A3:F3"/>
    <mergeCell ref="G3:V3"/>
  </mergeCells>
  <pageMargins left="0.51181102362204722" right="0.31496062992125984" top="0.39370078740157483" bottom="0.59055118110236227" header="0.31496062992125984" footer="0.31496062992125984"/>
  <pageSetup paperSize="9" scale="43" orientation="landscape" r:id="rId1"/>
  <headerFooter>
    <oddHeader>&amp;R&amp;D   &amp;T</oddHeader>
    <oddFooter>&amp;CPágina &amp;P/&amp;N</oddFooter>
  </headerFooter>
</worksheet>
</file>

<file path=xl/worksheets/sheet5.xml><?xml version="1.0" encoding="utf-8"?>
<worksheet xmlns="http://schemas.openxmlformats.org/spreadsheetml/2006/main" xmlns:r="http://schemas.openxmlformats.org/officeDocument/2006/relationships">
  <sheetPr codeName="Plan6"/>
  <dimension ref="A1:DO130"/>
  <sheetViews>
    <sheetView topLeftCell="A125" zoomScale="125" zoomScaleNormal="125" workbookViewId="0">
      <selection activeCell="A130" sqref="A88:XFD130"/>
    </sheetView>
  </sheetViews>
  <sheetFormatPr defaultColWidth="9.15234375" defaultRowHeight="20.25" customHeight="1"/>
  <cols>
    <col min="1" max="1" width="24.3046875" style="118" bestFit="1" customWidth="1"/>
    <col min="2" max="2" width="42.84375" style="118" customWidth="1"/>
    <col min="3" max="3" width="14.3828125" style="120" customWidth="1"/>
    <col min="4" max="4" width="13.84375" style="12" customWidth="1"/>
    <col min="5" max="5" width="10.53515625" style="12" bestFit="1" customWidth="1"/>
    <col min="6" max="6" width="10.84375" style="12" customWidth="1"/>
    <col min="7" max="7" width="13.3046875" style="117" bestFit="1" customWidth="1"/>
    <col min="8" max="8" width="30.3046875" style="132" bestFit="1" customWidth="1"/>
    <col min="9" max="9" width="9.84375" style="117" bestFit="1" customWidth="1"/>
    <col min="10" max="10" width="12.84375" style="133" hidden="1" customWidth="1"/>
    <col min="11" max="11" width="9.3828125" style="117" hidden="1" customWidth="1"/>
    <col min="12" max="12" width="10.69140625" style="12" customWidth="1"/>
    <col min="13" max="13" width="8.15234375" style="133" customWidth="1"/>
    <col min="14" max="14" width="9" style="117" bestFit="1" customWidth="1"/>
    <col min="15" max="16" width="11.3828125" style="12" customWidth="1"/>
    <col min="17" max="17" width="8.53515625" style="117" customWidth="1"/>
    <col min="18" max="18" width="10.84375" style="134" customWidth="1"/>
    <col min="19" max="21" width="10.84375" style="12" customWidth="1"/>
    <col min="22" max="22" width="7.3828125" style="132" bestFit="1" customWidth="1"/>
    <col min="23" max="23" width="9.15234375" style="118" bestFit="1" customWidth="1"/>
    <col min="24" max="24" width="8.15234375" style="25" bestFit="1" customWidth="1"/>
    <col min="25" max="25" width="13.3828125" style="25" customWidth="1"/>
    <col min="26" max="26" width="13.3828125" style="20" bestFit="1" customWidth="1"/>
    <col min="27" max="27" width="13.3046875" style="20" customWidth="1"/>
    <col min="28" max="28" width="12.69140625" style="20" customWidth="1"/>
    <col min="29" max="29" width="13.84375" style="118" bestFit="1" customWidth="1"/>
    <col min="30" max="30" width="13.3046875" style="12" bestFit="1" customWidth="1"/>
    <col min="31" max="31" width="11.3828125" style="12" customWidth="1"/>
    <col min="32" max="42" width="9.15234375" style="118"/>
    <col min="43" max="43" width="12.15234375" style="12" bestFit="1" customWidth="1"/>
    <col min="44" max="16384" width="9.15234375" style="118"/>
  </cols>
  <sheetData>
    <row r="1" spans="1:43" s="20" customFormat="1" ht="20.25" customHeight="1">
      <c r="A1" s="197" t="s">
        <v>0</v>
      </c>
      <c r="B1" s="197"/>
      <c r="C1" s="197"/>
      <c r="D1" s="197"/>
      <c r="E1" s="197"/>
      <c r="F1" s="197"/>
      <c r="G1" s="197"/>
      <c r="H1" s="197"/>
      <c r="I1" s="197"/>
      <c r="J1" s="197"/>
      <c r="K1" s="197"/>
      <c r="L1" s="197"/>
      <c r="M1" s="197"/>
      <c r="N1" s="197"/>
      <c r="O1" s="197"/>
      <c r="P1" s="197"/>
      <c r="Q1" s="197"/>
      <c r="R1" s="197"/>
      <c r="S1" s="197"/>
      <c r="T1" s="197"/>
      <c r="U1" s="197"/>
      <c r="V1" s="217"/>
      <c r="W1" s="10"/>
      <c r="X1" s="13"/>
      <c r="Y1" s="9"/>
      <c r="Z1" s="9"/>
    </row>
    <row r="2" spans="1:43" s="20" customFormat="1" ht="20.25" customHeight="1">
      <c r="A2" s="198" t="s">
        <v>114</v>
      </c>
      <c r="B2" s="198"/>
      <c r="C2" s="198"/>
      <c r="D2" s="198"/>
      <c r="E2" s="198"/>
      <c r="F2" s="198"/>
      <c r="G2" s="199"/>
      <c r="H2" s="199"/>
      <c r="I2" s="199"/>
      <c r="J2" s="199"/>
      <c r="K2" s="199"/>
      <c r="L2" s="199"/>
      <c r="M2" s="199"/>
      <c r="N2" s="199"/>
      <c r="O2" s="199"/>
      <c r="P2" s="199"/>
      <c r="Q2" s="199"/>
      <c r="R2" s="199"/>
      <c r="S2" s="199"/>
      <c r="T2" s="199"/>
      <c r="U2" s="199"/>
      <c r="V2" s="218"/>
      <c r="W2" s="10"/>
      <c r="X2" s="13"/>
      <c r="Y2" s="9"/>
      <c r="Z2" s="9"/>
    </row>
    <row r="3" spans="1:43" s="20" customFormat="1" ht="20.25" customHeight="1">
      <c r="A3" s="197" t="s">
        <v>84</v>
      </c>
      <c r="B3" s="197"/>
      <c r="C3" s="197"/>
      <c r="D3" s="197"/>
      <c r="E3" s="197"/>
      <c r="F3" s="197"/>
      <c r="G3" s="199"/>
      <c r="H3" s="199"/>
      <c r="I3" s="199"/>
      <c r="J3" s="199"/>
      <c r="K3" s="199"/>
      <c r="L3" s="199"/>
      <c r="M3" s="199"/>
      <c r="N3" s="199"/>
      <c r="O3" s="199"/>
      <c r="P3" s="199"/>
      <c r="Q3" s="199"/>
      <c r="R3" s="199"/>
      <c r="S3" s="199"/>
      <c r="T3" s="199"/>
      <c r="U3" s="199"/>
      <c r="V3" s="218"/>
      <c r="W3" s="10"/>
      <c r="X3" s="13"/>
      <c r="Y3" s="9"/>
      <c r="Z3" s="9"/>
    </row>
    <row r="4" spans="1:43" s="20" customFormat="1" ht="20.25" customHeight="1">
      <c r="A4" s="101" t="s">
        <v>166</v>
      </c>
      <c r="B4" s="104"/>
      <c r="C4" s="24"/>
      <c r="D4" s="116"/>
      <c r="E4" s="73"/>
      <c r="F4" s="221" t="s">
        <v>119</v>
      </c>
      <c r="G4" s="221"/>
      <c r="H4" s="221"/>
      <c r="I4" s="11"/>
      <c r="J4" s="225" t="s">
        <v>113</v>
      </c>
      <c r="K4" s="225"/>
      <c r="L4" s="225"/>
      <c r="M4" s="225"/>
      <c r="N4" s="225"/>
      <c r="O4" s="225"/>
      <c r="P4" s="149"/>
      <c r="Q4" s="219" t="s">
        <v>113</v>
      </c>
      <c r="R4" s="219"/>
      <c r="S4" s="219"/>
      <c r="T4" s="219"/>
      <c r="U4" s="219"/>
      <c r="V4" s="220"/>
      <c r="W4" s="10"/>
      <c r="X4" s="105">
        <v>44561</v>
      </c>
      <c r="Y4" s="9"/>
      <c r="Z4" s="9"/>
    </row>
    <row r="5" spans="1:43" ht="20.25" customHeight="1">
      <c r="A5" s="197" t="s">
        <v>87</v>
      </c>
      <c r="B5" s="197"/>
      <c r="C5" s="197"/>
      <c r="D5" s="116"/>
      <c r="E5" s="116"/>
      <c r="F5" s="224" t="s">
        <v>1</v>
      </c>
      <c r="G5" s="224"/>
      <c r="H5" s="224"/>
      <c r="J5" s="222" t="s">
        <v>2</v>
      </c>
      <c r="K5" s="222"/>
      <c r="L5" s="222"/>
      <c r="M5" s="222"/>
      <c r="N5" s="222"/>
      <c r="O5" s="222"/>
      <c r="P5" s="148"/>
      <c r="Q5" s="224" t="s">
        <v>3</v>
      </c>
      <c r="R5" s="224"/>
      <c r="S5" s="224"/>
      <c r="T5" s="224"/>
      <c r="U5" s="224"/>
      <c r="V5" s="226"/>
      <c r="X5" s="33"/>
      <c r="Y5" s="119"/>
      <c r="Z5" s="30"/>
      <c r="AA5" s="30"/>
      <c r="AB5" s="30"/>
    </row>
    <row r="6" spans="1:43" s="135" customFormat="1" ht="20.25" customHeight="1">
      <c r="A6" s="190" t="s">
        <v>4</v>
      </c>
      <c r="B6" s="190" t="s">
        <v>5</v>
      </c>
      <c r="C6" s="190" t="s">
        <v>6</v>
      </c>
      <c r="D6" s="190"/>
      <c r="E6" s="190"/>
      <c r="F6" s="190"/>
      <c r="G6" s="190" t="s">
        <v>7</v>
      </c>
      <c r="H6" s="190"/>
      <c r="I6" s="190" t="s">
        <v>8</v>
      </c>
      <c r="J6" s="190"/>
      <c r="K6" s="190"/>
      <c r="L6" s="190"/>
      <c r="M6" s="190"/>
      <c r="N6" s="190" t="s">
        <v>9</v>
      </c>
      <c r="O6" s="190"/>
      <c r="P6" s="146"/>
      <c r="Q6" s="190" t="s">
        <v>11</v>
      </c>
      <c r="R6" s="190"/>
      <c r="S6" s="190"/>
      <c r="T6" s="190"/>
      <c r="U6" s="190"/>
      <c r="V6" s="223" t="s">
        <v>12</v>
      </c>
      <c r="X6" s="33"/>
      <c r="Y6" s="119"/>
      <c r="Z6" s="30"/>
      <c r="AA6" s="30"/>
      <c r="AB6" s="30"/>
      <c r="AD6" s="72"/>
      <c r="AE6" s="72"/>
      <c r="AQ6" s="72"/>
    </row>
    <row r="7" spans="1:43" s="136" customFormat="1" ht="20.25" customHeight="1">
      <c r="A7" s="190"/>
      <c r="B7" s="190"/>
      <c r="C7" s="102" t="s">
        <v>13</v>
      </c>
      <c r="D7" s="102" t="s">
        <v>14</v>
      </c>
      <c r="E7" s="102" t="s">
        <v>15</v>
      </c>
      <c r="F7" s="102" t="s">
        <v>16</v>
      </c>
      <c r="G7" s="103" t="s">
        <v>17</v>
      </c>
      <c r="H7" s="103" t="s">
        <v>18</v>
      </c>
      <c r="I7" s="140" t="s">
        <v>13</v>
      </c>
      <c r="J7" s="32" t="s">
        <v>19</v>
      </c>
      <c r="K7" s="103" t="s">
        <v>20</v>
      </c>
      <c r="L7" s="102" t="s">
        <v>21</v>
      </c>
      <c r="M7" s="32" t="s">
        <v>22</v>
      </c>
      <c r="N7" s="103" t="s">
        <v>23</v>
      </c>
      <c r="O7" s="102" t="s">
        <v>24</v>
      </c>
      <c r="P7" s="147" t="s">
        <v>275</v>
      </c>
      <c r="Q7" s="103" t="s">
        <v>25</v>
      </c>
      <c r="R7" s="102" t="s">
        <v>26</v>
      </c>
      <c r="S7" s="102" t="s">
        <v>27</v>
      </c>
      <c r="T7" s="102" t="s">
        <v>28</v>
      </c>
      <c r="U7" s="115" t="s">
        <v>29</v>
      </c>
      <c r="V7" s="223"/>
      <c r="Y7" s="31"/>
      <c r="Z7" s="33"/>
      <c r="AA7" s="33"/>
      <c r="AB7" s="33"/>
      <c r="AD7" s="137"/>
      <c r="AE7" s="137"/>
      <c r="AQ7" s="137"/>
    </row>
    <row r="8" spans="1:43" ht="20.25" customHeight="1">
      <c r="A8" s="121" t="e">
        <f>'4o TRIMESTRE'!A8</f>
        <v>#REF!</v>
      </c>
      <c r="B8" s="121" t="e">
        <f>'4o TRIMESTRE'!B8</f>
        <v>#REF!</v>
      </c>
      <c r="C8" s="121">
        <f>'4o TRIMESTRE'!C8</f>
        <v>0</v>
      </c>
      <c r="D8" s="18" t="e">
        <f>'4o TRIMESTRE'!D8</f>
        <v>#REF!</v>
      </c>
      <c r="E8" s="18" t="e">
        <f>'4o TRIMESTRE'!E8</f>
        <v>#REF!</v>
      </c>
      <c r="F8" s="18" t="e">
        <f>'4o TRIMESTRE'!F8</f>
        <v>#REF!</v>
      </c>
      <c r="G8" s="121" t="e">
        <f>'4o TRIMESTRE'!G8</f>
        <v>#REF!</v>
      </c>
      <c r="H8" s="121" t="e">
        <f>'4o TRIMESTRE'!H8</f>
        <v>#REF!</v>
      </c>
      <c r="I8" s="122" t="e">
        <f>'4o TRIMESTRE'!I8</f>
        <v>#REF!</v>
      </c>
      <c r="J8" s="123" t="e">
        <f>'4o TRIMESTRE'!J8</f>
        <v>#REF!</v>
      </c>
      <c r="K8" s="122" t="e">
        <f>'4o TRIMESTRE'!K8</f>
        <v>#REF!</v>
      </c>
      <c r="L8" s="18" t="e">
        <f>'4o TRIMESTRE'!L8</f>
        <v>#REF!</v>
      </c>
      <c r="M8" s="123" t="e">
        <f>'4o TRIMESTRE'!M8</f>
        <v>#REF!</v>
      </c>
      <c r="N8" s="122" t="e">
        <f>'4o TRIMESTRE'!N8</f>
        <v>#REF!</v>
      </c>
      <c r="O8" s="18" t="e">
        <f>'4o TRIMESTRE'!O8</f>
        <v>#REF!</v>
      </c>
      <c r="P8" s="18">
        <v>81998.64</v>
      </c>
      <c r="Q8" s="122" t="e">
        <f>'4o TRIMESTRE'!Q8</f>
        <v>#REF!</v>
      </c>
      <c r="R8" s="18" t="e">
        <f>'4o TRIMESTRE'!R8</f>
        <v>#REF!</v>
      </c>
      <c r="S8" s="18">
        <f>'4o TRIMESTRE'!S8</f>
        <v>449673.27999999997</v>
      </c>
      <c r="T8" s="18" t="e">
        <f>'4o TRIMESTRE'!T8</f>
        <v>#REF!</v>
      </c>
      <c r="U8" s="18" t="e">
        <f>'4o TRIMESTRE'!U8</f>
        <v>#REF!</v>
      </c>
      <c r="V8" s="139" t="e">
        <f>'4o TRIMESTRE'!V8</f>
        <v>#REF!</v>
      </c>
      <c r="W8" s="124" t="e">
        <f>R8-U8</f>
        <v>#REF!</v>
      </c>
      <c r="X8" s="138" t="e">
        <f>IF(M8&gt;$X$4,"verdadeiro","Falso")</f>
        <v>#REF!</v>
      </c>
      <c r="Z8" s="42"/>
      <c r="AC8" s="124"/>
    </row>
    <row r="9" spans="1:43" ht="20.25" customHeight="1">
      <c r="A9" s="121" t="str">
        <f>'4o TRIMESTRE'!A9</f>
        <v>TOMADA DE PREÇOS /nº 07/2016</v>
      </c>
      <c r="B9" s="121" t="str">
        <f>'4o TRIMESTRE'!B9</f>
        <v>SEVIÇOS CONTÍNUOS DE MANUTENÇÃO CORRETIVA E PREVENTIVA E EXPANSÃO DA ILUMINAÇÃO ESPECIAL NA CIDADE DO RECIFE</v>
      </c>
      <c r="C9" s="121">
        <f>'4o TRIMESTRE'!C9</f>
        <v>0</v>
      </c>
      <c r="D9" s="18">
        <f>'4o TRIMESTRE'!D9</f>
        <v>0</v>
      </c>
      <c r="E9" s="18">
        <f>'4o TRIMESTRE'!E9</f>
        <v>0</v>
      </c>
      <c r="F9" s="18">
        <f>'4o TRIMESTRE'!F9</f>
        <v>0</v>
      </c>
      <c r="G9" s="121" t="str">
        <f>'4o TRIMESTRE'!G9</f>
        <v>41.116.138/0001-38</v>
      </c>
      <c r="H9" s="121" t="str">
        <f>'4o TRIMESTRE'!H9</f>
        <v xml:space="preserve">REAL ENERGY LTDA                                            </v>
      </c>
      <c r="I9" s="122" t="str">
        <f>'4o TRIMESTRE'!I9</f>
        <v>6-002/17</v>
      </c>
      <c r="J9" s="123">
        <f>'4o TRIMESTRE'!J9</f>
        <v>42795</v>
      </c>
      <c r="K9" s="122">
        <f>'4o TRIMESTRE'!K9</f>
        <v>365</v>
      </c>
      <c r="L9" s="18">
        <f>'4o TRIMESTRE'!L9</f>
        <v>1223866.8</v>
      </c>
      <c r="M9" s="123">
        <f>'4o TRIMESTRE'!M9</f>
        <v>44620</v>
      </c>
      <c r="N9" s="122">
        <f>'4o TRIMESTRE'!N9</f>
        <v>1460</v>
      </c>
      <c r="O9" s="18">
        <f>'4o TRIMESTRE'!O9</f>
        <v>4923839.5200000005</v>
      </c>
      <c r="P9" s="18">
        <v>0</v>
      </c>
      <c r="Q9" s="122" t="str">
        <f>'4o TRIMESTRE'!Q9</f>
        <v>3.3.90.39</v>
      </c>
      <c r="R9" s="18">
        <f>'4o TRIMESTRE'!R9</f>
        <v>6138666.4100000001</v>
      </c>
      <c r="S9" s="18">
        <f>'4o TRIMESTRE'!S9</f>
        <v>0</v>
      </c>
      <c r="T9" s="18">
        <f>'4o TRIMESTRE'!T9</f>
        <v>219564.08</v>
      </c>
      <c r="U9" s="18" t="e">
        <f>'4o TRIMESTRE'!U9</f>
        <v>#REF!</v>
      </c>
      <c r="V9" s="139" t="str">
        <f>'4o TRIMESTRE'!V9</f>
        <v>andamento</v>
      </c>
      <c r="W9" s="124" t="e">
        <f t="shared" ref="W9:W72" si="0">R9-U9</f>
        <v>#REF!</v>
      </c>
      <c r="X9" s="138" t="str">
        <f t="shared" ref="X9:X72" si="1">IF(M9&gt;$X$4,"verdadeiro","Falso")</f>
        <v>verdadeiro</v>
      </c>
      <c r="Z9" s="42"/>
      <c r="AC9" s="124"/>
    </row>
    <row r="10" spans="1:43" ht="20.25" customHeight="1">
      <c r="A10" s="121" t="str">
        <f>'4o TRIMESTRE'!A10</f>
        <v>CONCORRÊNCIA / nº 12/2020</v>
      </c>
      <c r="B10" s="121" t="str">
        <f>'4o TRIMESTRE'!B10</f>
        <v>CONTRATACAO DOS SERVICOS DE LIMPEZA E MANUTENCAO DO SISTEMA DE MICRODRENAGEM DE AGUAS PLUVIAIS DO MUNICIPIO DO RECIFE RPA 02 E 03</v>
      </c>
      <c r="C10" s="121">
        <f>'4o TRIMESTRE'!C10</f>
        <v>0</v>
      </c>
      <c r="D10" s="18">
        <f>'4o TRIMESTRE'!D10</f>
        <v>0</v>
      </c>
      <c r="E10" s="18">
        <f>'4o TRIMESTRE'!E10</f>
        <v>0</v>
      </c>
      <c r="F10" s="18">
        <f>'4o TRIMESTRE'!F10</f>
        <v>0</v>
      </c>
      <c r="G10" s="121" t="str">
        <f>'4o TRIMESTRE'!G10</f>
        <v>07.693.988/0001-60</v>
      </c>
      <c r="H10" s="121" t="str">
        <f>'4o TRIMESTRE'!H10</f>
        <v>F R F  ENGENHARIA LTDA</v>
      </c>
      <c r="I10" s="122" t="str">
        <f>'4o TRIMESTRE'!I10</f>
        <v>6-002/21</v>
      </c>
      <c r="J10" s="123">
        <f>'4o TRIMESTRE'!J10</f>
        <v>44204</v>
      </c>
      <c r="K10" s="122">
        <f>'4o TRIMESTRE'!K10</f>
        <v>1125</v>
      </c>
      <c r="L10" s="18">
        <f>'4o TRIMESTRE'!L10</f>
        <v>17543900.190000001</v>
      </c>
      <c r="M10" s="123">
        <f>'4o TRIMESTRE'!M10</f>
        <v>45329</v>
      </c>
      <c r="N10" s="122">
        <f>'4o TRIMESTRE'!N10</f>
        <v>0</v>
      </c>
      <c r="O10" s="18">
        <f>'4o TRIMESTRE'!O10</f>
        <v>713682.3</v>
      </c>
      <c r="P10" s="18">
        <v>-111435.77</v>
      </c>
      <c r="Q10" s="122" t="str">
        <f>'4o TRIMESTRE'!Q10</f>
        <v>3.3.90.39</v>
      </c>
      <c r="R10" s="18">
        <f>'4o TRIMESTRE'!R10</f>
        <v>5744809.7300000004</v>
      </c>
      <c r="S10" s="18">
        <f>'4o TRIMESTRE'!S10</f>
        <v>0</v>
      </c>
      <c r="T10" s="18">
        <f>'4o TRIMESTRE'!T10</f>
        <v>1011036.82</v>
      </c>
      <c r="U10" s="18" t="e">
        <f>'4o TRIMESTRE'!U10</f>
        <v>#REF!</v>
      </c>
      <c r="V10" s="139" t="str">
        <f>'4o TRIMESTRE'!V10</f>
        <v>encerrado</v>
      </c>
      <c r="W10" s="124" t="e">
        <f t="shared" si="0"/>
        <v>#REF!</v>
      </c>
      <c r="X10" s="138" t="str">
        <f t="shared" si="1"/>
        <v>verdadeiro</v>
      </c>
      <c r="Z10" s="42"/>
      <c r="AC10" s="124"/>
    </row>
    <row r="11" spans="1:43" ht="20.25" customHeight="1">
      <c r="A11" s="121" t="str">
        <f>'4o TRIMESTRE'!A11</f>
        <v>Pregão Eletrônico/ nº 017/2020</v>
      </c>
      <c r="B11" s="121" t="str">
        <f>'4o TRIMESTRE'!B11</f>
        <v>SERVIÇO DE MANUTENÇÃO E/OU INSTALAÇÃO DE BRINQUEDOS DE MADEIRA, INSTALADOS EM PARQUES E PRAÇAS DA CIDADE DO RECIFE</v>
      </c>
      <c r="C11" s="121">
        <f>'4o TRIMESTRE'!C11</f>
        <v>0</v>
      </c>
      <c r="D11" s="18">
        <f>'4o TRIMESTRE'!D11</f>
        <v>0</v>
      </c>
      <c r="E11" s="18">
        <f>'4o TRIMESTRE'!E11</f>
        <v>0</v>
      </c>
      <c r="F11" s="18">
        <f>'4o TRIMESTRE'!F11</f>
        <v>0</v>
      </c>
      <c r="G11" s="121" t="str">
        <f>'4o TRIMESTRE'!G11</f>
        <v>06.157.352/0001-31</v>
      </c>
      <c r="H11" s="121" t="str">
        <f>'4o TRIMESTRE'!H11</f>
        <v>ROBERTO &amp; JAIR COMERCIO E SERVICOS LTDA - EPP</v>
      </c>
      <c r="I11" s="122" t="str">
        <f>'4o TRIMESTRE'!I11</f>
        <v>6-003/21</v>
      </c>
      <c r="J11" s="123">
        <f>'4o TRIMESTRE'!J11</f>
        <v>44246</v>
      </c>
      <c r="K11" s="122">
        <f>'4o TRIMESTRE'!K11</f>
        <v>365</v>
      </c>
      <c r="L11" s="18">
        <f>'4o TRIMESTRE'!L11</f>
        <v>159999.96</v>
      </c>
      <c r="M11" s="123">
        <f>'4o TRIMESTRE'!M11</f>
        <v>44701</v>
      </c>
      <c r="N11" s="122">
        <f>'4o TRIMESTRE'!N11</f>
        <v>90</v>
      </c>
      <c r="O11" s="18">
        <f>'4o TRIMESTRE'!O11</f>
        <v>39425.78</v>
      </c>
      <c r="P11" s="18">
        <v>-1.64</v>
      </c>
      <c r="Q11" s="122" t="str">
        <f>'4o TRIMESTRE'!Q11</f>
        <v>3.3.90.39</v>
      </c>
      <c r="R11" s="18">
        <f>'4o TRIMESTRE'!R11</f>
        <v>184625.54</v>
      </c>
      <c r="S11" s="18">
        <f>'4o TRIMESTRE'!S11</f>
        <v>0</v>
      </c>
      <c r="T11" s="18">
        <f>'4o TRIMESTRE'!T11</f>
        <v>33487.69</v>
      </c>
      <c r="U11" s="18" t="e">
        <f>'4o TRIMESTRE'!U11</f>
        <v>#REF!</v>
      </c>
      <c r="V11" s="139" t="s">
        <v>190</v>
      </c>
      <c r="W11" s="124" t="e">
        <f t="shared" si="0"/>
        <v>#REF!</v>
      </c>
      <c r="X11" s="138" t="str">
        <f t="shared" si="1"/>
        <v>verdadeiro</v>
      </c>
      <c r="Z11" s="42"/>
      <c r="AC11" s="124"/>
    </row>
    <row r="12" spans="1:43" ht="20.25" customHeight="1">
      <c r="A12" s="121" t="str">
        <f>'4o TRIMESTRE'!A12</f>
        <v>CONCORRÊNCIA / nº 14/2020</v>
      </c>
      <c r="B12" s="121" t="str">
        <f>'4o TRIMESTRE'!B12</f>
        <v>CONTRATACAO DE EMPRESA DE ENGENHARIA PARA REALIZACAO DE MANUTENCAO PREVENTIVA E CORRETIVA DO SISTEMA DE ILUMINACAO PUBLICA CONVENCIONAL DAS RPAS DO MUNICIPIO DO RECIFE. EM POSTES COM ATE 12 METROS DE ALTURA LOTE I. RPA 1 E 6</v>
      </c>
      <c r="C12" s="121">
        <f>'4o TRIMESTRE'!C12</f>
        <v>0</v>
      </c>
      <c r="D12" s="18">
        <f>'4o TRIMESTRE'!D12</f>
        <v>0</v>
      </c>
      <c r="E12" s="18">
        <f>'4o TRIMESTRE'!E12</f>
        <v>0</v>
      </c>
      <c r="F12" s="18">
        <f>'4o TRIMESTRE'!F12</f>
        <v>0</v>
      </c>
      <c r="G12" s="121" t="str">
        <f>'4o TRIMESTRE'!G12</f>
        <v>03.834.750/0001-57</v>
      </c>
      <c r="H12" s="121" t="str">
        <f>'4o TRIMESTRE'!H12</f>
        <v>EIP SERVICOS DE ILUMINACAO LTDA</v>
      </c>
      <c r="I12" s="122" t="str">
        <f>'4o TRIMESTRE'!I12</f>
        <v>6-004/21</v>
      </c>
      <c r="J12" s="123">
        <f>'4o TRIMESTRE'!J12</f>
        <v>44270</v>
      </c>
      <c r="K12" s="122">
        <f>'4o TRIMESTRE'!K12</f>
        <v>790</v>
      </c>
      <c r="L12" s="18">
        <f>'4o TRIMESTRE'!L12</f>
        <v>1459741.65</v>
      </c>
      <c r="M12" s="123">
        <f>'4o TRIMESTRE'!M12</f>
        <v>45240</v>
      </c>
      <c r="N12" s="122">
        <f>'4o TRIMESTRE'!N12</f>
        <v>180</v>
      </c>
      <c r="O12" s="18">
        <f>'4o TRIMESTRE'!O12</f>
        <v>3491798.01</v>
      </c>
      <c r="P12" s="18">
        <v>2941083.2</v>
      </c>
      <c r="Q12" s="122" t="str">
        <f>'4o TRIMESTRE'!Q12</f>
        <v>3.3.90.39</v>
      </c>
      <c r="R12" s="18">
        <f>'4o TRIMESTRE'!R12</f>
        <v>3496135.85</v>
      </c>
      <c r="S12" s="18">
        <f>'4o TRIMESTRE'!S12</f>
        <v>1839933.8</v>
      </c>
      <c r="T12" s="18">
        <f>'4o TRIMESTRE'!T12</f>
        <v>2887774.9</v>
      </c>
      <c r="U12" s="18" t="e">
        <f>'4o TRIMESTRE'!U12</f>
        <v>#REF!</v>
      </c>
      <c r="V12" s="139" t="s">
        <v>190</v>
      </c>
      <c r="W12" s="124" t="e">
        <f t="shared" si="0"/>
        <v>#REF!</v>
      </c>
      <c r="X12" s="138" t="str">
        <f t="shared" si="1"/>
        <v>verdadeiro</v>
      </c>
      <c r="Z12" s="42"/>
      <c r="AC12" s="124"/>
    </row>
    <row r="13" spans="1:43" ht="20.25" customHeight="1">
      <c r="A13" s="121" t="str">
        <f>'4o TRIMESTRE'!A13</f>
        <v>CONCORRÊNCIA / nº 14/2020</v>
      </c>
      <c r="B13" s="121" t="str">
        <f>'4o TRIMESTRE'!B13</f>
        <v>CONTRATACAO DE EMPRESA DE ENGENHARIA PARA REALIZACAO DE MANUTENCAO PREVENTIVA E CORRETIVA DO SISTEMA DE ILUMINACAO PUBLICA CONVENCIONAL DAS RPAS DO MUNICIPIO DO RECIFE. EM POSTES COM ATE 12 METROS DE ALTURA LOTE II RPA 2 E 3</v>
      </c>
      <c r="C13" s="121" t="str">
        <f>'4o TRIMESTRE'!C13</f>
        <v>007/2015</v>
      </c>
      <c r="D13" s="18">
        <f>'4o TRIMESTRE'!D13</f>
        <v>0</v>
      </c>
      <c r="E13" s="18">
        <f>'4o TRIMESTRE'!E13</f>
        <v>0</v>
      </c>
      <c r="F13" s="18">
        <f>'4o TRIMESTRE'!F13</f>
        <v>0</v>
      </c>
      <c r="G13" s="121" t="str">
        <f>'4o TRIMESTRE'!G13</f>
        <v>03.834.750/0001-57</v>
      </c>
      <c r="H13" s="121" t="str">
        <f>'4o TRIMESTRE'!H13</f>
        <v>EIP SERVICOS DE ILUMINACAO LTDA</v>
      </c>
      <c r="I13" s="122" t="str">
        <f>'4o TRIMESTRE'!I13</f>
        <v>6-005/21</v>
      </c>
      <c r="J13" s="123">
        <f>'4o TRIMESTRE'!J13</f>
        <v>44270</v>
      </c>
      <c r="K13" s="122">
        <f>'4o TRIMESTRE'!K13</f>
        <v>790</v>
      </c>
      <c r="L13" s="18">
        <f>'4o TRIMESTRE'!L13</f>
        <v>1589764.85</v>
      </c>
      <c r="M13" s="123">
        <f>'4o TRIMESTRE'!M13</f>
        <v>45060</v>
      </c>
      <c r="N13" s="122">
        <f>'4o TRIMESTRE'!N13</f>
        <v>0</v>
      </c>
      <c r="O13" s="18">
        <f>'4o TRIMESTRE'!O13</f>
        <v>337768.38</v>
      </c>
      <c r="P13" s="18">
        <v>-0.18</v>
      </c>
      <c r="Q13" s="122" t="str">
        <f>'4o TRIMESTRE'!Q13</f>
        <v>3.3.90.39</v>
      </c>
      <c r="R13" s="18">
        <f>'4o TRIMESTRE'!R13</f>
        <v>765439.27</v>
      </c>
      <c r="S13" s="18">
        <f>'4o TRIMESTRE'!S13</f>
        <v>0</v>
      </c>
      <c r="T13" s="18">
        <f>'4o TRIMESTRE'!T13</f>
        <v>129293.64</v>
      </c>
      <c r="U13" s="18" t="e">
        <f>'4o TRIMESTRE'!U13</f>
        <v>#REF!</v>
      </c>
      <c r="V13" s="139" t="str">
        <f>'4o TRIMESTRE'!V13</f>
        <v>andamento</v>
      </c>
      <c r="W13" s="124" t="e">
        <f t="shared" si="0"/>
        <v>#REF!</v>
      </c>
      <c r="X13" s="138" t="str">
        <f t="shared" si="1"/>
        <v>verdadeiro</v>
      </c>
      <c r="Z13" s="42"/>
      <c r="AC13" s="124"/>
    </row>
    <row r="14" spans="1:43" ht="20.25" customHeight="1">
      <c r="A14" s="121" t="str">
        <f>'4o TRIMESTRE'!A14</f>
        <v>CONCORRÊNCIA / nº 14/2020</v>
      </c>
      <c r="B14" s="121" t="str">
        <f>'4o TRIMESTRE'!B14</f>
        <v>CONTRATAÇÃO DE EMPRESA DE ENGENHARIA PARA REALIZAÇÃO DE MANUTENÇÃO PREVENTIVA E CORRETIVA DO SISTEMA DE ILUMINAÇÃO PUBLICA CONVENCIONAL DAS RPAS DO RECIFE LOTE III RPA  4 E 5</v>
      </c>
      <c r="C14" s="121" t="str">
        <f>'4o TRIMESTRE'!C14</f>
        <v>005/2016</v>
      </c>
      <c r="D14" s="18">
        <f>'4o TRIMESTRE'!D14</f>
        <v>0</v>
      </c>
      <c r="E14" s="18">
        <f>'4o TRIMESTRE'!E14</f>
        <v>0</v>
      </c>
      <c r="F14" s="18">
        <f>'4o TRIMESTRE'!F14</f>
        <v>0</v>
      </c>
      <c r="G14" s="121" t="str">
        <f>'4o TRIMESTRE'!G14</f>
        <v>03.834.750/0001-57</v>
      </c>
      <c r="H14" s="121" t="str">
        <f>'4o TRIMESTRE'!H14</f>
        <v>EIP SERVICOS DE ILUMINACAO LTDA</v>
      </c>
      <c r="I14" s="122" t="str">
        <f>'4o TRIMESTRE'!I14</f>
        <v>6-006/21</v>
      </c>
      <c r="J14" s="123">
        <f>'4o TRIMESTRE'!J14</f>
        <v>44270</v>
      </c>
      <c r="K14" s="122">
        <f>'4o TRIMESTRE'!K14</f>
        <v>790</v>
      </c>
      <c r="L14" s="18">
        <f>'4o TRIMESTRE'!L14</f>
        <v>1435226.94</v>
      </c>
      <c r="M14" s="123">
        <f>'4o TRIMESTRE'!M14</f>
        <v>45060</v>
      </c>
      <c r="N14" s="122">
        <f>'4o TRIMESTRE'!N14</f>
        <v>0</v>
      </c>
      <c r="O14" s="18">
        <f>'4o TRIMESTRE'!O14</f>
        <v>341654.57999999996</v>
      </c>
      <c r="P14" s="18">
        <v>-1329.02</v>
      </c>
      <c r="Q14" s="122" t="str">
        <f>'4o TRIMESTRE'!Q14</f>
        <v>3.3.90.39</v>
      </c>
      <c r="R14" s="18">
        <f>'4o TRIMESTRE'!R14</f>
        <v>1120634.3599999999</v>
      </c>
      <c r="S14" s="18">
        <f>'4o TRIMESTRE'!S14</f>
        <v>0</v>
      </c>
      <c r="T14" s="18">
        <f>'4o TRIMESTRE'!T14</f>
        <v>582314.69999999995</v>
      </c>
      <c r="U14" s="18" t="e">
        <f>'4o TRIMESTRE'!U14</f>
        <v>#REF!</v>
      </c>
      <c r="V14" s="139" t="str">
        <f>'4o TRIMESTRE'!V14</f>
        <v>encerrado</v>
      </c>
      <c r="W14" s="124" t="e">
        <f t="shared" si="0"/>
        <v>#REF!</v>
      </c>
      <c r="X14" s="138" t="str">
        <f t="shared" si="1"/>
        <v>verdadeiro</v>
      </c>
      <c r="Z14" s="42"/>
      <c r="AC14" s="124"/>
    </row>
    <row r="15" spans="1:43" ht="20.25" customHeight="1">
      <c r="A15" s="121" t="str">
        <f>'4o TRIMESTRE'!A15</f>
        <v>CONCORRÊNCIA / nº 17/2020</v>
      </c>
      <c r="B15" s="121" t="str">
        <f>'4o TRIMESTRE'!B15</f>
        <v>CONTRATACAO DOS SERVICOS DE MANUTENCAO E RECUPERACAO DA PAVIMENTACAO NAS VIAS EM PARALELEPIPEDOS CONSTITUINTES DO SISTEMA VIARIO DA CIDADE DO RECIFE. LOTE I - RPA 1</v>
      </c>
      <c r="C15" s="121" t="str">
        <f>'4o TRIMESTRE'!C15</f>
        <v>007/2015 E 001/2017</v>
      </c>
      <c r="D15" s="18">
        <f>'4o TRIMESTRE'!D15</f>
        <v>0</v>
      </c>
      <c r="E15" s="18">
        <f>'4o TRIMESTRE'!E15</f>
        <v>0</v>
      </c>
      <c r="F15" s="18">
        <f>'4o TRIMESTRE'!F15</f>
        <v>0</v>
      </c>
      <c r="G15" s="121" t="str">
        <f>'4o TRIMESTRE'!G15</f>
        <v>10.811.370/0001-62</v>
      </c>
      <c r="H15" s="121" t="str">
        <f>'4o TRIMESTRE'!H15</f>
        <v>GUERRA CONSTRUCOES LTDA</v>
      </c>
      <c r="I15" s="122" t="str">
        <f>'4o TRIMESTRE'!I15</f>
        <v>6-007/21</v>
      </c>
      <c r="J15" s="123">
        <f>'4o TRIMESTRE'!J15</f>
        <v>44285</v>
      </c>
      <c r="K15" s="122">
        <f>'4o TRIMESTRE'!K15</f>
        <v>760</v>
      </c>
      <c r="L15" s="18">
        <f>'4o TRIMESTRE'!L15</f>
        <v>4242714.5</v>
      </c>
      <c r="M15" s="123">
        <f>'4o TRIMESTRE'!M15</f>
        <v>45045</v>
      </c>
      <c r="N15" s="122">
        <f>'4o TRIMESTRE'!N15</f>
        <v>0</v>
      </c>
      <c r="O15" s="18">
        <f>'4o TRIMESTRE'!O15</f>
        <v>0</v>
      </c>
      <c r="P15" s="18">
        <v>25144.12</v>
      </c>
      <c r="Q15" s="122" t="str">
        <f>'4o TRIMESTRE'!Q15</f>
        <v>3.3.90.39</v>
      </c>
      <c r="R15" s="18">
        <f>'4o TRIMESTRE'!R15</f>
        <v>629610.96</v>
      </c>
      <c r="S15" s="18">
        <f>'4o TRIMESTRE'!S15</f>
        <v>0</v>
      </c>
      <c r="T15" s="18">
        <f>'4o TRIMESTRE'!T15</f>
        <v>0</v>
      </c>
      <c r="U15" s="18" t="e">
        <f>'4o TRIMESTRE'!U15</f>
        <v>#REF!</v>
      </c>
      <c r="V15" s="139" t="str">
        <f>'4o TRIMESTRE'!V15</f>
        <v>andamento</v>
      </c>
      <c r="W15" s="124" t="e">
        <f t="shared" si="0"/>
        <v>#REF!</v>
      </c>
      <c r="X15" s="138" t="str">
        <f t="shared" si="1"/>
        <v>verdadeiro</v>
      </c>
      <c r="Z15" s="42"/>
      <c r="AC15" s="124"/>
    </row>
    <row r="16" spans="1:43" ht="20.25" customHeight="1">
      <c r="A16" s="121" t="str">
        <f>'4o TRIMESTRE'!A16</f>
        <v>CONCORRÊNCIA / nº 17/2020</v>
      </c>
      <c r="B16" s="121" t="str">
        <f>'4o TRIMESTRE'!B16</f>
        <v>CONTRATACAO DOS SERVICOS DE MANUTENCAO E RECUPERACAO DA PAVIMENTACAO NAS VIAS EM PARALELEPIPEDOS CONSTITUINTES DO SISTEMA VIARIO DA CIDADE DO RECIFE. LOTES II - RPA 2 E 3</v>
      </c>
      <c r="C16" s="121">
        <f>'4o TRIMESTRE'!C16</f>
        <v>0</v>
      </c>
      <c r="D16" s="18">
        <f>'4o TRIMESTRE'!D16</f>
        <v>0</v>
      </c>
      <c r="E16" s="18">
        <f>'4o TRIMESTRE'!E16</f>
        <v>0</v>
      </c>
      <c r="F16" s="18">
        <f>'4o TRIMESTRE'!F16</f>
        <v>0</v>
      </c>
      <c r="G16" s="121" t="str">
        <f>'4o TRIMESTRE'!G16</f>
        <v>07.086.088/0001-55</v>
      </c>
      <c r="H16" s="121" t="str">
        <f>'4o TRIMESTRE'!H16</f>
        <v>SOLO CONSTRUCOES E TERRAPLANAGEM LTDA</v>
      </c>
      <c r="I16" s="122" t="str">
        <f>'4o TRIMESTRE'!I16</f>
        <v>6-008/21</v>
      </c>
      <c r="J16" s="123">
        <f>'4o TRIMESTRE'!J16</f>
        <v>44285</v>
      </c>
      <c r="K16" s="122">
        <f>'4o TRIMESTRE'!K16</f>
        <v>760</v>
      </c>
      <c r="L16" s="18">
        <f>'4o TRIMESTRE'!L16</f>
        <v>5068725.74</v>
      </c>
      <c r="M16" s="123">
        <f>'4o TRIMESTRE'!M16</f>
        <v>45090</v>
      </c>
      <c r="N16" s="122">
        <f>'4o TRIMESTRE'!N16</f>
        <v>45</v>
      </c>
      <c r="O16" s="18">
        <f>'4o TRIMESTRE'!O16</f>
        <v>0</v>
      </c>
      <c r="P16" s="18">
        <v>-165667.95000000001</v>
      </c>
      <c r="Q16" s="122" t="str">
        <f>'4o TRIMESTRE'!Q16</f>
        <v>3.3.90.39</v>
      </c>
      <c r="R16" s="18">
        <f>'4o TRIMESTRE'!R16</f>
        <v>1544299.07</v>
      </c>
      <c r="S16" s="18">
        <f>'4o TRIMESTRE'!S16</f>
        <v>139460.49</v>
      </c>
      <c r="T16" s="18">
        <f>'4o TRIMESTRE'!T16</f>
        <v>1023924.55</v>
      </c>
      <c r="U16" s="18" t="e">
        <f>'4o TRIMESTRE'!U16</f>
        <v>#REF!</v>
      </c>
      <c r="V16" s="139" t="str">
        <f>'4o TRIMESTRE'!V16</f>
        <v>encerrado</v>
      </c>
      <c r="W16" s="124" t="e">
        <f t="shared" si="0"/>
        <v>#REF!</v>
      </c>
      <c r="X16" s="138" t="str">
        <f t="shared" si="1"/>
        <v>verdadeiro</v>
      </c>
      <c r="Z16" s="42"/>
      <c r="AC16" s="124"/>
    </row>
    <row r="17" spans="1:29" ht="20.25" customHeight="1">
      <c r="A17" s="121" t="str">
        <f>'4o TRIMESTRE'!A17</f>
        <v>concorrência /nº 17/2020</v>
      </c>
      <c r="B17" s="121" t="str">
        <f>'4o TRIMESTRE'!B17</f>
        <v>CONTRATACAO DOS SERVICOS DE MANUTENCAO E RECUPERACAO DA PAVIMENTACAO NAS VIAS EM PARALELEPIPEDOS CONSTITUINTES DO SISTEMA VIARIO DA CIDADE DO RECIFE. LOTES III - RPA 4 E 5</v>
      </c>
      <c r="C17" s="121">
        <f>'4o TRIMESTRE'!C17</f>
        <v>0</v>
      </c>
      <c r="D17" s="18">
        <f>'4o TRIMESTRE'!D17</f>
        <v>0</v>
      </c>
      <c r="E17" s="18">
        <f>'4o TRIMESTRE'!E17</f>
        <v>0</v>
      </c>
      <c r="F17" s="18">
        <f>'4o TRIMESTRE'!F17</f>
        <v>0</v>
      </c>
      <c r="G17" s="121" t="str">
        <f>'4o TRIMESTRE'!G17</f>
        <v>05.625.079/0001-60</v>
      </c>
      <c r="H17" s="121" t="str">
        <f>'4o TRIMESTRE'!H17</f>
        <v xml:space="preserve">CONSTRUTORA MARDIFI LTDA - EPP </v>
      </c>
      <c r="I17" s="122" t="str">
        <f>'4o TRIMESTRE'!I17</f>
        <v>6-009/21</v>
      </c>
      <c r="J17" s="123">
        <f>'4o TRIMESTRE'!J17</f>
        <v>44285</v>
      </c>
      <c r="K17" s="122">
        <f>'4o TRIMESTRE'!K17</f>
        <v>760</v>
      </c>
      <c r="L17" s="18">
        <f>'4o TRIMESTRE'!L17</f>
        <v>7317745.6200000001</v>
      </c>
      <c r="M17" s="123">
        <f>'4o TRIMESTRE'!M17</f>
        <v>45410</v>
      </c>
      <c r="N17" s="122">
        <f>'4o TRIMESTRE'!N17</f>
        <v>365</v>
      </c>
      <c r="O17" s="18">
        <f>'4o TRIMESTRE'!O17</f>
        <v>17518965.949999999</v>
      </c>
      <c r="P17" s="18">
        <v>1492079.88</v>
      </c>
      <c r="Q17" s="122" t="str">
        <f>'4o TRIMESTRE'!Q17</f>
        <v>3.3.90.39</v>
      </c>
      <c r="R17" s="18">
        <f>'4o TRIMESTRE'!R17</f>
        <v>8651853.5199999996</v>
      </c>
      <c r="S17" s="18">
        <f>'4o TRIMESTRE'!S17</f>
        <v>5041476.38</v>
      </c>
      <c r="T17" s="18">
        <f>'4o TRIMESTRE'!T17</f>
        <v>7750584.4199999999</v>
      </c>
      <c r="U17" s="18" t="e">
        <f>'4o TRIMESTRE'!U17</f>
        <v>#REF!</v>
      </c>
      <c r="V17" s="139" t="str">
        <f>'4o TRIMESTRE'!V17</f>
        <v>andamento</v>
      </c>
      <c r="W17" s="124" t="e">
        <f t="shared" si="0"/>
        <v>#REF!</v>
      </c>
      <c r="X17" s="138" t="str">
        <f t="shared" si="1"/>
        <v>verdadeiro</v>
      </c>
      <c r="Z17" s="42"/>
      <c r="AC17" s="124"/>
    </row>
    <row r="18" spans="1:29" ht="20.25" customHeight="1">
      <c r="A18" s="121" t="str">
        <f>'4o TRIMESTRE'!A18</f>
        <v>concorrência /nº 17/2020</v>
      </c>
      <c r="B18" s="121" t="str">
        <f>'4o TRIMESTRE'!B18</f>
        <v>CONTRATACAO DOS SERVICOS DE MANUTENCAO E RECUPERACAO DA PAVIMENTACAO NAS VIAS EM PARALELEPIPEDOS CONSTITUINTES DO SISTEMA VIARIO DA CIDADE DO RECIFE. LOTES IV. - RPA 06</v>
      </c>
      <c r="C18" s="121" t="str">
        <f>'4o TRIMESTRE'!C18</f>
        <v>495721/2018 e 535346/2020</v>
      </c>
      <c r="D18" s="18">
        <f>'4o TRIMESTRE'!D18</f>
        <v>0</v>
      </c>
      <c r="E18" s="18">
        <f>'4o TRIMESTRE'!E18</f>
        <v>15823300.23</v>
      </c>
      <c r="F18" s="18">
        <f>'4o TRIMESTRE'!F18</f>
        <v>0</v>
      </c>
      <c r="G18" s="121" t="str">
        <f>'4o TRIMESTRE'!G18</f>
        <v>10.811.370/0001-62</v>
      </c>
      <c r="H18" s="121" t="str">
        <f>'4o TRIMESTRE'!H18</f>
        <v>GUERRA CONSTRUCOES LTDA</v>
      </c>
      <c r="I18" s="122" t="str">
        <f>'4o TRIMESTRE'!I18</f>
        <v>6-010/21</v>
      </c>
      <c r="J18" s="123">
        <f>'4o TRIMESTRE'!J18</f>
        <v>44285</v>
      </c>
      <c r="K18" s="122">
        <f>'4o TRIMESTRE'!K18</f>
        <v>760</v>
      </c>
      <c r="L18" s="18">
        <f>'4o TRIMESTRE'!L18</f>
        <v>6534905.3499999996</v>
      </c>
      <c r="M18" s="123">
        <f>'4o TRIMESTRE'!M18</f>
        <v>45045</v>
      </c>
      <c r="N18" s="122">
        <f>'4o TRIMESTRE'!N18</f>
        <v>0</v>
      </c>
      <c r="O18" s="18">
        <f>'4o TRIMESTRE'!O18</f>
        <v>0</v>
      </c>
      <c r="P18" s="18">
        <v>-32503.22</v>
      </c>
      <c r="Q18" s="122" t="str">
        <f>'4o TRIMESTRE'!Q18</f>
        <v>3.3.90.39</v>
      </c>
      <c r="R18" s="18">
        <f>'4o TRIMESTRE'!R18</f>
        <v>1928911.7999999998</v>
      </c>
      <c r="S18" s="18">
        <f>'4o TRIMESTRE'!S18</f>
        <v>0</v>
      </c>
      <c r="T18" s="18">
        <f>'4o TRIMESTRE'!T18</f>
        <v>326655.13</v>
      </c>
      <c r="U18" s="18" t="e">
        <f>'4o TRIMESTRE'!U18</f>
        <v>#REF!</v>
      </c>
      <c r="V18" s="139" t="str">
        <f>'4o TRIMESTRE'!V18</f>
        <v>encerrado</v>
      </c>
      <c r="W18" s="124" t="e">
        <f t="shared" si="0"/>
        <v>#REF!</v>
      </c>
      <c r="X18" s="138" t="str">
        <f t="shared" si="1"/>
        <v>verdadeiro</v>
      </c>
      <c r="Z18" s="42"/>
      <c r="AC18" s="124"/>
    </row>
    <row r="19" spans="1:29" ht="20.25" customHeight="1">
      <c r="A19" s="121" t="str">
        <f>'4o TRIMESTRE'!A19</f>
        <v>INEX 9/2021</v>
      </c>
      <c r="B19" s="121" t="str">
        <f>'4o TRIMESTRE'!B19</f>
        <v>CONTRATACAO DOS SERVICOS DE MANUTENCAO PREVENTIVA DO SISTEMA DE MACRODRENAGEM PELO PROCESSO DE BARRAGEM MOVEL EM DIVERSOS CANAIS DA CIDADE DO RECIFE</v>
      </c>
      <c r="C19" s="121">
        <f>'4o TRIMESTRE'!C19</f>
        <v>0</v>
      </c>
      <c r="D19" s="18">
        <f>'4o TRIMESTRE'!D19</f>
        <v>0</v>
      </c>
      <c r="E19" s="18">
        <f>'4o TRIMESTRE'!E19</f>
        <v>0</v>
      </c>
      <c r="F19" s="18">
        <f>'4o TRIMESTRE'!F19</f>
        <v>0</v>
      </c>
      <c r="G19" s="121" t="str">
        <f>'4o TRIMESTRE'!G19</f>
        <v>03.366.083/0001-25</v>
      </c>
      <c r="H19" s="121" t="str">
        <f>'4o TRIMESTRE'!H19</f>
        <v>HIDROMAX CONSTRUÇOES LTDA</v>
      </c>
      <c r="I19" s="122" t="str">
        <f>'4o TRIMESTRE'!I19</f>
        <v>6-012/21</v>
      </c>
      <c r="J19" s="123">
        <f>'4o TRIMESTRE'!J19</f>
        <v>44354</v>
      </c>
      <c r="K19" s="122">
        <f>'4o TRIMESTRE'!K19</f>
        <v>760</v>
      </c>
      <c r="L19" s="18">
        <f>'4o TRIMESTRE'!L19</f>
        <v>1940544.76</v>
      </c>
      <c r="M19" s="123">
        <f>'4o TRIMESTRE'!M19</f>
        <v>45114</v>
      </c>
      <c r="N19" s="122">
        <f>'4o TRIMESTRE'!N19</f>
        <v>0</v>
      </c>
      <c r="O19" s="18">
        <f>'4o TRIMESTRE'!O19</f>
        <v>27154</v>
      </c>
      <c r="P19" s="18">
        <v>0</v>
      </c>
      <c r="Q19" s="122" t="str">
        <f>'4o TRIMESTRE'!Q19</f>
        <v>3.3.90.39</v>
      </c>
      <c r="R19" s="18">
        <f>'4o TRIMESTRE'!R19</f>
        <v>773754.88</v>
      </c>
      <c r="S19" s="18">
        <f>'4o TRIMESTRE'!S19</f>
        <v>171561.74</v>
      </c>
      <c r="T19" s="18">
        <f>'4o TRIMESTRE'!T19</f>
        <v>438913.37</v>
      </c>
      <c r="U19" s="18" t="e">
        <f>'4o TRIMESTRE'!U19</f>
        <v>#REF!</v>
      </c>
      <c r="V19" s="139" t="str">
        <f>'4o TRIMESTRE'!V19</f>
        <v>andamento</v>
      </c>
      <c r="W19" s="124" t="e">
        <f t="shared" si="0"/>
        <v>#REF!</v>
      </c>
      <c r="X19" s="138" t="str">
        <f t="shared" si="1"/>
        <v>verdadeiro</v>
      </c>
      <c r="Y19" s="42"/>
      <c r="Z19" s="42"/>
      <c r="AC19" s="124"/>
    </row>
    <row r="20" spans="1:29" ht="20.25" customHeight="1">
      <c r="A20" s="121" t="str">
        <f>'4o TRIMESTRE'!A20</f>
        <v> PREGÃO PRESENCIAL Licitação: 4/2017</v>
      </c>
      <c r="B20" s="121" t="str">
        <f>'4o TRIMESTRE'!B20</f>
        <v>SERVIÇOS ESPECIALIZADOS DE ENGENHARIA AGRONÔMICA COM SERVIÇOS DE MANUTENÇÃO DE ARBORETO, PARQUES, PRAÇAS E DEMAIS ÁREAS VERDES</v>
      </c>
      <c r="C20" s="121" t="str">
        <f>'4o TRIMESTRE'!C20</f>
        <v>495721/2018 e 535346/2020</v>
      </c>
      <c r="D20" s="18">
        <f>'4o TRIMESTRE'!D20</f>
        <v>0</v>
      </c>
      <c r="E20" s="18">
        <f>'4o TRIMESTRE'!E20</f>
        <v>15823300.23</v>
      </c>
      <c r="F20" s="18">
        <f>'4o TRIMESTRE'!F20</f>
        <v>0</v>
      </c>
      <c r="G20" s="121" t="str">
        <f>'4o TRIMESTRE'!G20</f>
        <v>00.449.936/0001-02</v>
      </c>
      <c r="H20" s="121" t="str">
        <f>'4o TRIMESTRE'!H20</f>
        <v>ENGEMAIA E CIA LTDA</v>
      </c>
      <c r="I20" s="122" t="str">
        <f>'4o TRIMESTRE'!I20</f>
        <v>6-013/17</v>
      </c>
      <c r="J20" s="123">
        <f>'4o TRIMESTRE'!J20</f>
        <v>42940</v>
      </c>
      <c r="K20" s="122">
        <f>'4o TRIMESTRE'!K20</f>
        <v>365</v>
      </c>
      <c r="L20" s="18">
        <f>'4o TRIMESTRE'!L20</f>
        <v>11944999.92</v>
      </c>
      <c r="M20" s="123">
        <f>'4o TRIMESTRE'!M20</f>
        <v>44765</v>
      </c>
      <c r="N20" s="122">
        <f>'4o TRIMESTRE'!N20</f>
        <v>1460</v>
      </c>
      <c r="O20" s="18">
        <f>'4o TRIMESTRE'!O20</f>
        <v>60684020.43</v>
      </c>
      <c r="P20" s="18">
        <v>0</v>
      </c>
      <c r="Q20" s="122" t="str">
        <f>'4o TRIMESTRE'!Q20</f>
        <v>3.3.90.39</v>
      </c>
      <c r="R20" s="18">
        <f>'4o TRIMESTRE'!R20</f>
        <v>43354359.949999996</v>
      </c>
      <c r="S20" s="18">
        <f>'4o TRIMESTRE'!S20</f>
        <v>0</v>
      </c>
      <c r="T20" s="18">
        <f>'4o TRIMESTRE'!T20</f>
        <v>2498941.87</v>
      </c>
      <c r="U20" s="18" t="e">
        <f>'4o TRIMESTRE'!U20</f>
        <v>#REF!</v>
      </c>
      <c r="V20" s="139" t="str">
        <f>'4o TRIMESTRE'!V20</f>
        <v>encerrado</v>
      </c>
      <c r="W20" s="124" t="e">
        <f t="shared" si="0"/>
        <v>#REF!</v>
      </c>
      <c r="X20" s="138" t="str">
        <f t="shared" si="1"/>
        <v>verdadeiro</v>
      </c>
      <c r="Z20" s="42"/>
      <c r="AC20" s="124"/>
    </row>
    <row r="21" spans="1:29" ht="20.25" customHeight="1">
      <c r="A21" s="121" t="str">
        <f>'4o TRIMESTRE'!A21</f>
        <v>TOMADA DE PREÇOS Licitação: 1/2020</v>
      </c>
      <c r="B21" s="121" t="str">
        <f>'4o TRIMESTRE'!B21</f>
        <v>PRESTAÇÃO DE SERVIÇO DE MANUTENÇÃO E RECUPERAÇÃO AMBIENTAL DO ATERRO CONTROLADO DA MURIBECA</v>
      </c>
      <c r="C21" s="121">
        <f>'4o TRIMESTRE'!C21</f>
        <v>0</v>
      </c>
      <c r="D21" s="18">
        <f>'4o TRIMESTRE'!D21</f>
        <v>0</v>
      </c>
      <c r="E21" s="18">
        <f>'4o TRIMESTRE'!E21</f>
        <v>0</v>
      </c>
      <c r="F21" s="18">
        <f>'4o TRIMESTRE'!F21</f>
        <v>0</v>
      </c>
      <c r="G21" s="121" t="str">
        <f>'4o TRIMESTRE'!G21</f>
        <v>07.693.988/0001-60</v>
      </c>
      <c r="H21" s="121" t="str">
        <f>'4o TRIMESTRE'!H21</f>
        <v>F R F ENGENHARIA LTDA</v>
      </c>
      <c r="I21" s="122" t="str">
        <f>'4o TRIMESTRE'!I21</f>
        <v>6-013/20</v>
      </c>
      <c r="J21" s="123">
        <f>'4o TRIMESTRE'!J21</f>
        <v>44007</v>
      </c>
      <c r="K21" s="122">
        <f>'4o TRIMESTRE'!K21</f>
        <v>760</v>
      </c>
      <c r="L21" s="18">
        <f>'4o TRIMESTRE'!L21</f>
        <v>1152030.3799999999</v>
      </c>
      <c r="M21" s="123">
        <f>'4o TRIMESTRE'!M21</f>
        <v>44767</v>
      </c>
      <c r="N21" s="122">
        <f>'4o TRIMESTRE'!N21</f>
        <v>0</v>
      </c>
      <c r="O21" s="18">
        <f>'4o TRIMESTRE'!O21</f>
        <v>0</v>
      </c>
      <c r="P21" s="18"/>
      <c r="Q21" s="122" t="str">
        <f>'4o TRIMESTRE'!Q21</f>
        <v>3.3.90.39</v>
      </c>
      <c r="R21" s="18">
        <f>'4o TRIMESTRE'!R21</f>
        <v>759661.24</v>
      </c>
      <c r="S21" s="18">
        <f>'4o TRIMESTRE'!S21</f>
        <v>0</v>
      </c>
      <c r="T21" s="18">
        <f>'4o TRIMESTRE'!T21</f>
        <v>90735.72</v>
      </c>
      <c r="U21" s="18" t="e">
        <f>'4o TRIMESTRE'!U21</f>
        <v>#REF!</v>
      </c>
      <c r="V21" s="139" t="str">
        <f>'4o TRIMESTRE'!V21</f>
        <v>andamento</v>
      </c>
      <c r="W21" s="124" t="e">
        <f t="shared" si="0"/>
        <v>#REF!</v>
      </c>
      <c r="X21" s="138" t="str">
        <f t="shared" si="1"/>
        <v>verdadeiro</v>
      </c>
      <c r="Z21" s="42"/>
      <c r="AC21" s="124"/>
    </row>
    <row r="22" spans="1:29" ht="20.25" customHeight="1">
      <c r="A22" s="121" t="str">
        <f>'4o TRIMESTRE'!A22</f>
        <v>concorrência /nº 001/2021</v>
      </c>
      <c r="B22" s="121" t="str">
        <f>'4o TRIMESTRE'!B22</f>
        <v>CONTRATACAO DE EMPRESA DE ENGENHARIA ESPECIALIZADA. PARA A OPERACAO. AUTOMACAO E MANUTENCAO ELETRICA E MECANICA DAS ESTACOES DE BOMBEAMENTO E COMPORTAS DA CIDADE DO RECIFE</v>
      </c>
      <c r="C22" s="121" t="str">
        <f>'4o TRIMESTRE'!C22</f>
        <v>495721/2018 e 535346/2020</v>
      </c>
      <c r="D22" s="18">
        <f>'4o TRIMESTRE'!D22</f>
        <v>0</v>
      </c>
      <c r="E22" s="18">
        <f>'4o TRIMESTRE'!E22</f>
        <v>15823300.23</v>
      </c>
      <c r="F22" s="18">
        <f>'4o TRIMESTRE'!F22</f>
        <v>0</v>
      </c>
      <c r="G22" s="121" t="str">
        <f>'4o TRIMESTRE'!G22</f>
        <v>41.116.138/0001-38</v>
      </c>
      <c r="H22" s="121" t="str">
        <f>'4o TRIMESTRE'!H22</f>
        <v>REAL ENERGY LTDA</v>
      </c>
      <c r="I22" s="122" t="str">
        <f>'4o TRIMESTRE'!I22</f>
        <v>6-014/21</v>
      </c>
      <c r="J22" s="123">
        <f>'4o TRIMESTRE'!J22</f>
        <v>44347</v>
      </c>
      <c r="K22" s="122">
        <f>'4o TRIMESTRE'!K22</f>
        <v>790</v>
      </c>
      <c r="L22" s="18">
        <f>'4o TRIMESTRE'!L22</f>
        <v>3652773.14</v>
      </c>
      <c r="M22" s="123">
        <f>'4o TRIMESTRE'!M22</f>
        <v>45137</v>
      </c>
      <c r="N22" s="122">
        <f>'4o TRIMESTRE'!N22</f>
        <v>0</v>
      </c>
      <c r="O22" s="18">
        <f>'4o TRIMESTRE'!O22</f>
        <v>0</v>
      </c>
      <c r="P22" s="18">
        <v>0</v>
      </c>
      <c r="Q22" s="122" t="str">
        <f>'4o TRIMESTRE'!Q22</f>
        <v>3.3.90.39</v>
      </c>
      <c r="R22" s="18">
        <f>'4o TRIMESTRE'!R22</f>
        <v>1031327.5900000001</v>
      </c>
      <c r="S22" s="18">
        <f>'4o TRIMESTRE'!S22</f>
        <v>0</v>
      </c>
      <c r="T22" s="18">
        <f>'4o TRIMESTRE'!T22</f>
        <v>314984</v>
      </c>
      <c r="U22" s="18" t="e">
        <f>'4o TRIMESTRE'!U22</f>
        <v>#REF!</v>
      </c>
      <c r="V22" s="139" t="str">
        <f>'4o TRIMESTRE'!V22</f>
        <v>encerrado</v>
      </c>
      <c r="W22" s="124" t="e">
        <f t="shared" si="0"/>
        <v>#REF!</v>
      </c>
      <c r="X22" s="138" t="str">
        <f t="shared" si="1"/>
        <v>verdadeiro</v>
      </c>
      <c r="Z22" s="42"/>
      <c r="AC22" s="124"/>
    </row>
    <row r="23" spans="1:29" ht="20.25" customHeight="1">
      <c r="A23" s="121" t="str">
        <f>'4o TRIMESTRE'!A23</f>
        <v>CONCORRÊNCIA / nº 19/2019</v>
      </c>
      <c r="B23" s="121" t="str">
        <f>'4o TRIMESTRE'!B23</f>
        <v>SERVIÇO DE MANUTENÇÃO DO SISTEMA DE MICRODRENAGEM DE AGUAS PLUVIAIS EM TODAS AS RPAS DA CIDADE DO RECIFE - 04 E 05</v>
      </c>
      <c r="C23" s="121">
        <f>'4o TRIMESTRE'!C23</f>
        <v>0</v>
      </c>
      <c r="D23" s="18">
        <f>'4o TRIMESTRE'!D23</f>
        <v>0</v>
      </c>
      <c r="E23" s="18">
        <f>'4o TRIMESTRE'!E23</f>
        <v>0</v>
      </c>
      <c r="F23" s="18">
        <f>'4o TRIMESTRE'!F23</f>
        <v>0</v>
      </c>
      <c r="G23" s="121" t="str">
        <f>'4o TRIMESTRE'!G23</f>
        <v>01.514.128/0001-36</v>
      </c>
      <c r="H23" s="121" t="str">
        <f>'4o TRIMESTRE'!H23</f>
        <v>SCAVE SERVICOS DE ENGENHARIA E LOCACAO LTDA</v>
      </c>
      <c r="I23" s="122" t="str">
        <f>'4o TRIMESTRE'!I23</f>
        <v>6-015/20</v>
      </c>
      <c r="J23" s="123">
        <f>'4o TRIMESTRE'!J23</f>
        <v>43997</v>
      </c>
      <c r="K23" s="122">
        <f>'4o TRIMESTRE'!K23</f>
        <v>1125</v>
      </c>
      <c r="L23" s="18">
        <f>'4o TRIMESTRE'!L23</f>
        <v>17094320.969999999</v>
      </c>
      <c r="M23" s="123">
        <f>'4o TRIMESTRE'!M23</f>
        <v>45122</v>
      </c>
      <c r="N23" s="122">
        <f>'4o TRIMESTRE'!N23</f>
        <v>0</v>
      </c>
      <c r="O23" s="18">
        <f>'4o TRIMESTRE'!O23</f>
        <v>4823892.12</v>
      </c>
      <c r="P23" s="18">
        <v>2353695.85</v>
      </c>
      <c r="Q23" s="122" t="str">
        <f>'4o TRIMESTRE'!Q23</f>
        <v>3.3.90.39</v>
      </c>
      <c r="R23" s="18">
        <f>'4o TRIMESTRE'!R23</f>
        <v>17356238.030000001</v>
      </c>
      <c r="S23" s="18">
        <f>'4o TRIMESTRE'!S23</f>
        <v>3205805.74</v>
      </c>
      <c r="T23" s="18">
        <f>'4o TRIMESTRE'!T23</f>
        <v>5658771.4199999999</v>
      </c>
      <c r="U23" s="18" t="e">
        <f>'4o TRIMESTRE'!U23</f>
        <v>#REF!</v>
      </c>
      <c r="V23" s="139" t="str">
        <f>'4o TRIMESTRE'!V23</f>
        <v>andamento</v>
      </c>
      <c r="W23" s="124" t="e">
        <f t="shared" si="0"/>
        <v>#REF!</v>
      </c>
      <c r="X23" s="138" t="str">
        <f t="shared" si="1"/>
        <v>verdadeiro</v>
      </c>
      <c r="Z23" s="42"/>
      <c r="AC23" s="124"/>
    </row>
    <row r="24" spans="1:29" ht="20.25" customHeight="1">
      <c r="A24" s="121" t="str">
        <f>'4o TRIMESTRE'!A24</f>
        <v>concorrência /nº 015/2020</v>
      </c>
      <c r="B24" s="121" t="str">
        <f>'4o TRIMESTRE'!B24</f>
        <v>SERVIÇOS DE RECUPERAÇÃO DE VIAS URBANAS PAVIMENTAS EM CONCRETO DE CIMENTO PORTLAND EM TRECHOS DE VIAS NAS RPA'S 1 A 6</v>
      </c>
      <c r="C24" s="121" t="str">
        <f>'4o TRIMESTRE'!C24</f>
        <v>495721/2018 e 535346/2020</v>
      </c>
      <c r="D24" s="18">
        <f>'4o TRIMESTRE'!D24</f>
        <v>0</v>
      </c>
      <c r="E24" s="18">
        <f>'4o TRIMESTRE'!E24</f>
        <v>15823300.23</v>
      </c>
      <c r="F24" s="18">
        <f>'4o TRIMESTRE'!F24</f>
        <v>0</v>
      </c>
      <c r="G24" s="121" t="str">
        <f>'4o TRIMESTRE'!G24</f>
        <v>00.338.885/0001-33</v>
      </c>
      <c r="H24" s="121" t="str">
        <f>'4o TRIMESTRE'!H24</f>
        <v>NOVATEC CONSTRUCOES E EMPREENDIMENTOS LTDA</v>
      </c>
      <c r="I24" s="122" t="str">
        <f>'4o TRIMESTRE'!I24</f>
        <v>6-015/21</v>
      </c>
      <c r="J24" s="123">
        <f>'4o TRIMESTRE'!J24</f>
        <v>44363</v>
      </c>
      <c r="K24" s="122">
        <f>'4o TRIMESTRE'!K24</f>
        <v>790</v>
      </c>
      <c r="L24" s="18">
        <f>'4o TRIMESTRE'!L24</f>
        <v>8412130.0600000005</v>
      </c>
      <c r="M24" s="123">
        <f>'4o TRIMESTRE'!M24</f>
        <v>45153</v>
      </c>
      <c r="N24" s="122">
        <f>'4o TRIMESTRE'!N24</f>
        <v>0</v>
      </c>
      <c r="O24" s="18">
        <f>'4o TRIMESTRE'!O24</f>
        <v>0</v>
      </c>
      <c r="P24" s="18">
        <v>0</v>
      </c>
      <c r="Q24" s="122" t="str">
        <f>'4o TRIMESTRE'!Q24</f>
        <v>3.3.90.39</v>
      </c>
      <c r="R24" s="18">
        <f>'4o TRIMESTRE'!R24</f>
        <v>2461731.2000000002</v>
      </c>
      <c r="S24" s="18">
        <f>'4o TRIMESTRE'!S24</f>
        <v>0</v>
      </c>
      <c r="T24" s="18">
        <f>'4o TRIMESTRE'!T24</f>
        <v>1002965.45</v>
      </c>
      <c r="U24" s="18" t="e">
        <f>'4o TRIMESTRE'!U24</f>
        <v>#REF!</v>
      </c>
      <c r="V24" s="139" t="str">
        <f>'4o TRIMESTRE'!V24</f>
        <v>encerrado</v>
      </c>
      <c r="W24" s="124" t="e">
        <f t="shared" si="0"/>
        <v>#REF!</v>
      </c>
      <c r="X24" s="138" t="str">
        <f t="shared" si="1"/>
        <v>verdadeiro</v>
      </c>
      <c r="Z24" s="42"/>
      <c r="AC24" s="124"/>
    </row>
    <row r="25" spans="1:29" ht="20.25" customHeight="1">
      <c r="A25" s="121" t="str">
        <f>'4o TRIMESTRE'!A25</f>
        <v>CONCORRÊNCIA / nº 19/2019</v>
      </c>
      <c r="B25" s="121" t="str">
        <f>'4o TRIMESTRE'!B25</f>
        <v>SERVIÇO DE MANUTENÇÃO DO SISTEMA DE MICRODRENAGEM DE AGUAS PLUVIAIS EM TODAS AS RPAS DO RECIFE - RPA 06</v>
      </c>
      <c r="C25" s="121">
        <f>'4o TRIMESTRE'!C25</f>
        <v>0</v>
      </c>
      <c r="D25" s="18">
        <f>'4o TRIMESTRE'!D25</f>
        <v>0</v>
      </c>
      <c r="E25" s="18">
        <f>'4o TRIMESTRE'!E25</f>
        <v>0</v>
      </c>
      <c r="F25" s="18">
        <f>'4o TRIMESTRE'!F25</f>
        <v>0</v>
      </c>
      <c r="G25" s="121" t="str">
        <f>'4o TRIMESTRE'!G25</f>
        <v>10.811.370/0001-62</v>
      </c>
      <c r="H25" s="121" t="str">
        <f>'4o TRIMESTRE'!H25</f>
        <v>GUERRA CONSTRUCOES LTDA</v>
      </c>
      <c r="I25" s="122" t="str">
        <f>'4o TRIMESTRE'!I25</f>
        <v>6-016/20</v>
      </c>
      <c r="J25" s="123">
        <f>'4o TRIMESTRE'!J25</f>
        <v>43997</v>
      </c>
      <c r="K25" s="122">
        <f>'4o TRIMESTRE'!K25</f>
        <v>1125</v>
      </c>
      <c r="L25" s="18">
        <f>'4o TRIMESTRE'!L25</f>
        <v>18840293.850000001</v>
      </c>
      <c r="M25" s="123">
        <f>'4o TRIMESTRE'!M25</f>
        <v>45122</v>
      </c>
      <c r="N25" s="122">
        <f>'4o TRIMESTRE'!N25</f>
        <v>0</v>
      </c>
      <c r="O25" s="18">
        <f>'4o TRIMESTRE'!O25</f>
        <v>6859515.4000000004</v>
      </c>
      <c r="P25" s="18">
        <v>2594739.9900000002</v>
      </c>
      <c r="Q25" s="122" t="str">
        <f>'4o TRIMESTRE'!Q25</f>
        <v>3.3.90.39</v>
      </c>
      <c r="R25" s="18">
        <f>'4o TRIMESTRE'!R25</f>
        <v>17019962.219999999</v>
      </c>
      <c r="S25" s="18">
        <f>'4o TRIMESTRE'!S25</f>
        <v>2431015.1</v>
      </c>
      <c r="T25" s="18">
        <f>'4o TRIMESTRE'!T25</f>
        <v>5414146.9900000002</v>
      </c>
      <c r="U25" s="18" t="e">
        <f>'4o TRIMESTRE'!U25</f>
        <v>#REF!</v>
      </c>
      <c r="V25" s="139" t="str">
        <f>'4o TRIMESTRE'!V25</f>
        <v>andamento</v>
      </c>
      <c r="W25" s="124" t="e">
        <f t="shared" si="0"/>
        <v>#REF!</v>
      </c>
      <c r="X25" s="138" t="str">
        <f t="shared" si="1"/>
        <v>verdadeiro</v>
      </c>
      <c r="Z25" s="42"/>
      <c r="AC25" s="124"/>
    </row>
    <row r="26" spans="1:29" ht="20.25" customHeight="1">
      <c r="A26" s="121" t="str">
        <f>'4o TRIMESTRE'!A26</f>
        <v>CONCORRÊNCIA Licitação: 10/2018</v>
      </c>
      <c r="B26" s="121" t="str">
        <f>'4o TRIMESTRE'!B26</f>
        <v>SERVIÇOS DE MANUTENÇÃO PREVENTIVA DO SISTEMA DE MACRODRENAGEM EM TODAS AS RPA'S DA CIDADE DO RECIFE - RPA 01 E 06</v>
      </c>
      <c r="C26" s="121" t="str">
        <f>'4o TRIMESTRE'!C26</f>
        <v>495721/2018 e 535346/2020</v>
      </c>
      <c r="D26" s="18" t="str">
        <f>'4o TRIMESTRE'!D26</f>
        <v>FINISA</v>
      </c>
      <c r="E26" s="18">
        <f>'4o TRIMESTRE'!E26</f>
        <v>200723115.34999996</v>
      </c>
      <c r="F26" s="18">
        <f>'4o TRIMESTRE'!F26</f>
        <v>0</v>
      </c>
      <c r="G26" s="121" t="str">
        <f>'4o TRIMESTRE'!G26</f>
        <v>01.514.128/0001-36</v>
      </c>
      <c r="H26" s="121" t="str">
        <f>'4o TRIMESTRE'!H26</f>
        <v>SCAVE SERVICOS DE ENGENHARIA E LOCACAO LTDA</v>
      </c>
      <c r="I26" s="122" t="str">
        <f>'4o TRIMESTRE'!I26</f>
        <v>6-017/19</v>
      </c>
      <c r="J26" s="123">
        <f>'4o TRIMESTRE'!J26</f>
        <v>43571</v>
      </c>
      <c r="K26" s="122">
        <f>'4o TRIMESTRE'!K26</f>
        <v>1125</v>
      </c>
      <c r="L26" s="18">
        <f>'4o TRIMESTRE'!L26</f>
        <v>10309281.699999999</v>
      </c>
      <c r="M26" s="123">
        <f>'4o TRIMESTRE'!M26</f>
        <v>44696</v>
      </c>
      <c r="N26" s="122">
        <f>'4o TRIMESTRE'!N26</f>
        <v>0</v>
      </c>
      <c r="O26" s="18">
        <f>'4o TRIMESTRE'!O26</f>
        <v>0</v>
      </c>
      <c r="P26" s="18">
        <v>1659020.11</v>
      </c>
      <c r="Q26" s="122" t="str">
        <f>'4o TRIMESTRE'!Q26</f>
        <v>4.4.90.39</v>
      </c>
      <c r="R26" s="18">
        <f>'4o TRIMESTRE'!R26</f>
        <v>5797671.96</v>
      </c>
      <c r="S26" s="18">
        <f>'4o TRIMESTRE'!S26</f>
        <v>114020.37</v>
      </c>
      <c r="T26" s="18">
        <f>'4o TRIMESTRE'!T26</f>
        <v>833817.17</v>
      </c>
      <c r="U26" s="18" t="e">
        <f>'4o TRIMESTRE'!U26</f>
        <v>#REF!</v>
      </c>
      <c r="V26" s="139" t="str">
        <f>'4o TRIMESTRE'!V26</f>
        <v>andamento</v>
      </c>
      <c r="W26" s="124" t="e">
        <f t="shared" si="0"/>
        <v>#REF!</v>
      </c>
      <c r="X26" s="138" t="str">
        <f t="shared" si="1"/>
        <v>verdadeiro</v>
      </c>
      <c r="Z26" s="42"/>
      <c r="AC26" s="124"/>
    </row>
    <row r="27" spans="1:29" ht="20.25" customHeight="1">
      <c r="A27" s="121" t="str">
        <f>'4o TRIMESTRE'!A27</f>
        <v>CONCORRÊNCIA Licitação: 10/2018</v>
      </c>
      <c r="B27" s="121" t="str">
        <f>'4o TRIMESTRE'!B27</f>
        <v>SERVIÇOS DE MANUTENÇÃO PREVENTIVA DO SISTEMA DE MACRODRENAGEM EM TODAS AS RPA'S DA CIDADE DO RECIFE - RPA 02 e 03</v>
      </c>
      <c r="C27" s="121">
        <f>'4o TRIMESTRE'!C27</f>
        <v>0</v>
      </c>
      <c r="D27" s="18" t="str">
        <f>'4o TRIMESTRE'!D27</f>
        <v>FINISA</v>
      </c>
      <c r="E27" s="18">
        <f>'4o TRIMESTRE'!E27</f>
        <v>184899815.11999997</v>
      </c>
      <c r="F27" s="18">
        <f>'4o TRIMESTRE'!F27</f>
        <v>0</v>
      </c>
      <c r="G27" s="121" t="str">
        <f>'4o TRIMESTRE'!G27</f>
        <v>01.514.128/0001-36</v>
      </c>
      <c r="H27" s="121" t="str">
        <f>'4o TRIMESTRE'!H27</f>
        <v>SCAVE SERVICOS DE ENGENHARIA E LOCACAO LTDA</v>
      </c>
      <c r="I27" s="122" t="str">
        <f>'4o TRIMESTRE'!I27</f>
        <v>6-018/19</v>
      </c>
      <c r="J27" s="123">
        <f>'4o TRIMESTRE'!J27</f>
        <v>43571</v>
      </c>
      <c r="K27" s="122">
        <f>'4o TRIMESTRE'!K27</f>
        <v>1125</v>
      </c>
      <c r="L27" s="18">
        <f>'4o TRIMESTRE'!L27</f>
        <v>11446659.060000001</v>
      </c>
      <c r="M27" s="123">
        <f>'4o TRIMESTRE'!M27</f>
        <v>44696</v>
      </c>
      <c r="N27" s="122">
        <f>'4o TRIMESTRE'!N27</f>
        <v>0</v>
      </c>
      <c r="O27" s="18">
        <f>'4o TRIMESTRE'!O27</f>
        <v>5430.8</v>
      </c>
      <c r="P27" s="18">
        <v>0</v>
      </c>
      <c r="Q27" s="122" t="str">
        <f>'4o TRIMESTRE'!Q27</f>
        <v>4.4.90.39</v>
      </c>
      <c r="R27" s="18">
        <f>'4o TRIMESTRE'!R27</f>
        <v>5506715.7800000003</v>
      </c>
      <c r="S27" s="18">
        <f>'4o TRIMESTRE'!S27</f>
        <v>0</v>
      </c>
      <c r="T27" s="18">
        <f>'4o TRIMESTRE'!T27</f>
        <v>786038.73</v>
      </c>
      <c r="U27" s="18" t="e">
        <f>'4o TRIMESTRE'!U27</f>
        <v>#REF!</v>
      </c>
      <c r="V27" s="139" t="str">
        <f>'4o TRIMESTRE'!V27</f>
        <v>andamento</v>
      </c>
      <c r="W27" s="124" t="e">
        <f t="shared" si="0"/>
        <v>#REF!</v>
      </c>
      <c r="X27" s="138" t="str">
        <f t="shared" si="1"/>
        <v>verdadeiro</v>
      </c>
      <c r="Z27" s="42"/>
      <c r="AB27" s="125"/>
      <c r="AC27" s="124"/>
    </row>
    <row r="28" spans="1:29" ht="20.25" customHeight="1">
      <c r="A28" s="121" t="str">
        <f>'4o TRIMESTRE'!A28</f>
        <v>DISP 3/2020</v>
      </c>
      <c r="B28" s="121" t="str">
        <f>'4o TRIMESTRE'!B28</f>
        <v>MONITORAMENTO AMBIENTAL DO ATERRO CONTROLADO DA MURIBECA E SERVIÇOS DE CONSULTORIA TECNOLÓGICA PARA TRATAMENTO DE RESÍDUOS SÓLIDOS URBANOS</v>
      </c>
      <c r="C28" s="121">
        <f>'4o TRIMESTRE'!C28</f>
        <v>0</v>
      </c>
      <c r="D28" s="18">
        <f>'4o TRIMESTRE'!D28</f>
        <v>0</v>
      </c>
      <c r="E28" s="18">
        <f>'4o TRIMESTRE'!E28</f>
        <v>0</v>
      </c>
      <c r="F28" s="18">
        <f>'4o TRIMESTRE'!F28</f>
        <v>0</v>
      </c>
      <c r="G28" s="121" t="str">
        <f>'4o TRIMESTRE'!G28</f>
        <v>11.187.606/0001-02</v>
      </c>
      <c r="H28" s="121" t="str">
        <f>'4o TRIMESTRE'!H28</f>
        <v xml:space="preserve">ATEPE ASSOCIACAO TECNOLOGICA DE PERNAMBUCO                  </v>
      </c>
      <c r="I28" s="122" t="str">
        <f>'4o TRIMESTRE'!I28</f>
        <v>6-018/20</v>
      </c>
      <c r="J28" s="123">
        <f>'4o TRIMESTRE'!J28</f>
        <v>44007</v>
      </c>
      <c r="K28" s="122">
        <f>'4o TRIMESTRE'!K28</f>
        <v>365</v>
      </c>
      <c r="L28" s="18">
        <f>'4o TRIMESTRE'!L28</f>
        <v>251180</v>
      </c>
      <c r="M28" s="123">
        <f>'4o TRIMESTRE'!M28</f>
        <v>44737</v>
      </c>
      <c r="N28" s="122">
        <f>'4o TRIMESTRE'!N28</f>
        <v>365</v>
      </c>
      <c r="O28" s="18">
        <f>'4o TRIMESTRE'!O28</f>
        <v>251180</v>
      </c>
      <c r="P28" s="18">
        <v>180603.08</v>
      </c>
      <c r="Q28" s="122" t="str">
        <f>'4o TRIMESTRE'!Q28</f>
        <v>3.3.90.39</v>
      </c>
      <c r="R28" s="18">
        <f>'4o TRIMESTRE'!R28</f>
        <v>329871</v>
      </c>
      <c r="S28" s="18">
        <f>'4o TRIMESTRE'!S28</f>
        <v>0</v>
      </c>
      <c r="T28" s="18">
        <f>'4o TRIMESTRE'!T28</f>
        <v>132447.78999999998</v>
      </c>
      <c r="U28" s="18" t="e">
        <f>'4o TRIMESTRE'!U28</f>
        <v>#REF!</v>
      </c>
      <c r="V28" s="139" t="str">
        <f>'4o TRIMESTRE'!V28</f>
        <v>encerrado</v>
      </c>
      <c r="W28" s="124" t="e">
        <f t="shared" si="0"/>
        <v>#REF!</v>
      </c>
      <c r="X28" s="138" t="str">
        <f t="shared" si="1"/>
        <v>verdadeiro</v>
      </c>
      <c r="Z28" s="42"/>
      <c r="AB28" s="125"/>
      <c r="AC28" s="124"/>
    </row>
    <row r="29" spans="1:29" ht="20.25" customHeight="1">
      <c r="A29" s="121" t="str">
        <f>'4o TRIMESTRE'!A29</f>
        <v>concorrência /nº 004/2021</v>
      </c>
      <c r="B29" s="121" t="str">
        <f>'4o TRIMESTRE'!B29</f>
        <v>RECUPERAÇÃO DE PASSEIOS COM IMPLANTAÇÃO DE ACESSIBILIDADE EM VARIAS VIAS E LOCAIS DO RECIFE</v>
      </c>
      <c r="C29" s="121" t="str">
        <f>'4o TRIMESTRE'!C29</f>
        <v>495721/2018 e 535346/2020</v>
      </c>
      <c r="D29" s="18" t="str">
        <f>'4o TRIMESTRE'!D29</f>
        <v>FINISA</v>
      </c>
      <c r="E29" s="18">
        <f>'4o TRIMESTRE'!E29</f>
        <v>110332047.73</v>
      </c>
      <c r="F29" s="18">
        <f>'4o TRIMESTRE'!F29</f>
        <v>0</v>
      </c>
      <c r="G29" s="121" t="str">
        <f>'4o TRIMESTRE'!G29</f>
        <v>03.608.944/0001-34</v>
      </c>
      <c r="H29" s="121" t="str">
        <f>'4o TRIMESTRE'!H29</f>
        <v>JEPAC CONSTRUCOES LTDA</v>
      </c>
      <c r="I29" s="122" t="str">
        <f>'4o TRIMESTRE'!I29</f>
        <v>6-018/21</v>
      </c>
      <c r="J29" s="123">
        <f>'4o TRIMESTRE'!J29</f>
        <v>44361</v>
      </c>
      <c r="K29" s="122">
        <f>'4o TRIMESTRE'!K29</f>
        <v>790</v>
      </c>
      <c r="L29" s="18">
        <f>'4o TRIMESTRE'!L29</f>
        <v>6770337.1399999997</v>
      </c>
      <c r="M29" s="123">
        <f>'4o TRIMESTRE'!M29</f>
        <v>45151</v>
      </c>
      <c r="N29" s="122">
        <f>'4o TRIMESTRE'!N29</f>
        <v>0</v>
      </c>
      <c r="O29" s="18">
        <f>'4o TRIMESTRE'!O29</f>
        <v>5430.8</v>
      </c>
      <c r="P29" s="18">
        <v>1849376.19</v>
      </c>
      <c r="Q29" s="122" t="str">
        <f>'4o TRIMESTRE'!Q29</f>
        <v>3.3.90.39</v>
      </c>
      <c r="R29" s="18">
        <f>'4o TRIMESTRE'!R29</f>
        <v>1602797.74</v>
      </c>
      <c r="S29" s="18">
        <f>'4o TRIMESTRE'!S29</f>
        <v>32153.41</v>
      </c>
      <c r="T29" s="18">
        <f>'4o TRIMESTRE'!T29</f>
        <v>404489.82</v>
      </c>
      <c r="U29" s="18" t="e">
        <f>'4o TRIMESTRE'!U29</f>
        <v>#REF!</v>
      </c>
      <c r="V29" s="139" t="str">
        <f>'4o TRIMESTRE'!V29</f>
        <v>andamento</v>
      </c>
      <c r="W29" s="124" t="e">
        <f t="shared" si="0"/>
        <v>#REF!</v>
      </c>
      <c r="X29" s="138" t="str">
        <f t="shared" si="1"/>
        <v>verdadeiro</v>
      </c>
      <c r="Z29" s="42"/>
      <c r="AC29" s="124"/>
    </row>
    <row r="30" spans="1:29" ht="20.25" customHeight="1">
      <c r="A30" s="121" t="str">
        <f>'4o TRIMESTRE'!A30</f>
        <v>CONCORRÊNCIA Licitação: 10/2018</v>
      </c>
      <c r="B30" s="121" t="str">
        <f>'4o TRIMESTRE'!B30</f>
        <v>SERVIÇOS DE MANUTENÇÃO PREVENTIVA DO SISTEMA DE MACRODRENAGEM EM TODAS AS RPA'S DA CIDADE DO RECIFE - RPA 04, 05</v>
      </c>
      <c r="C30" s="121">
        <f>'4o TRIMESTRE'!C30</f>
        <v>0</v>
      </c>
      <c r="D30" s="18" t="str">
        <f>'4o TRIMESTRE'!D30</f>
        <v>FINISA</v>
      </c>
      <c r="E30" s="18">
        <f>'4o TRIMESTRE'!E30</f>
        <v>184899815.11999997</v>
      </c>
      <c r="F30" s="18">
        <f>'4o TRIMESTRE'!F30</f>
        <v>0</v>
      </c>
      <c r="G30" s="121" t="str">
        <f>'4o TRIMESTRE'!G30</f>
        <v>01.514.128/0001-36</v>
      </c>
      <c r="H30" s="121" t="str">
        <f>'4o TRIMESTRE'!H30</f>
        <v>SCAVE SERVICOS DE ENGENHARIA E LOCACAO LTDA</v>
      </c>
      <c r="I30" s="122" t="str">
        <f>'4o TRIMESTRE'!I30</f>
        <v>6-019/19</v>
      </c>
      <c r="J30" s="123">
        <f>'4o TRIMESTRE'!J30</f>
        <v>43571</v>
      </c>
      <c r="K30" s="122">
        <f>'4o TRIMESTRE'!K30</f>
        <v>1125</v>
      </c>
      <c r="L30" s="18">
        <f>'4o TRIMESTRE'!L30</f>
        <v>11869839.779999999</v>
      </c>
      <c r="M30" s="123">
        <f>'4o TRIMESTRE'!M30</f>
        <v>45061</v>
      </c>
      <c r="N30" s="122">
        <f>'4o TRIMESTRE'!N30</f>
        <v>365</v>
      </c>
      <c r="O30" s="18">
        <f>'4o TRIMESTRE'!O30</f>
        <v>561336</v>
      </c>
      <c r="P30" s="18">
        <v>0</v>
      </c>
      <c r="Q30" s="122" t="str">
        <f>'4o TRIMESTRE'!Q30</f>
        <v>4.4.90.39</v>
      </c>
      <c r="R30" s="18">
        <f>'4o TRIMESTRE'!R30</f>
        <v>7894122.7899999991</v>
      </c>
      <c r="S30" s="18">
        <f>'4o TRIMESTRE'!S30</f>
        <v>111270</v>
      </c>
      <c r="T30" s="18">
        <f>'4o TRIMESTRE'!T30</f>
        <v>535213.03</v>
      </c>
      <c r="U30" s="18" t="e">
        <f>'4o TRIMESTRE'!U30</f>
        <v>#REF!</v>
      </c>
      <c r="V30" s="139" t="str">
        <f>'4o TRIMESTRE'!V30</f>
        <v>andamento</v>
      </c>
      <c r="W30" s="124" t="e">
        <f t="shared" si="0"/>
        <v>#REF!</v>
      </c>
      <c r="X30" s="138" t="str">
        <f t="shared" si="1"/>
        <v>verdadeiro</v>
      </c>
      <c r="Z30" s="42"/>
      <c r="AC30" s="124"/>
    </row>
    <row r="31" spans="1:29" ht="20.25" customHeight="1">
      <c r="A31" s="121" t="str">
        <f>'4o TRIMESTRE'!A31</f>
        <v>CONCORRÊNCIA Licitação: 2/2021</v>
      </c>
      <c r="B31" s="121" t="str">
        <f>'4o TRIMESTRE'!B31</f>
        <v>RECUPERACAO DE ESCADARIAS. MUROS E CORRIMOES LOCALIZADAS NAS DIVERSAS NAS DIVERSAS REGIAO POLITICA ADMINISTRATIVA RPAS DA CIDADE DO RECIFE. DIVIDIDAS EM EM LOTES. LOTE I RPA 2; LOTE II RPA 3 E LOTE III RPA 4.5.6</v>
      </c>
      <c r="C31" s="121" t="str">
        <f>'4o TRIMESTRE'!C31</f>
        <v>495721/2018 e 535346/2020</v>
      </c>
      <c r="D31" s="18" t="str">
        <f>'4o TRIMESTRE'!D31</f>
        <v>FINISA</v>
      </c>
      <c r="E31" s="18">
        <f>'4o TRIMESTRE'!E31</f>
        <v>129169977.79000001</v>
      </c>
      <c r="F31" s="18">
        <f>'4o TRIMESTRE'!F31</f>
        <v>0</v>
      </c>
      <c r="G31" s="121" t="str">
        <f>'4o TRIMESTRE'!G31</f>
        <v>11.523.068/0001-71</v>
      </c>
      <c r="H31" s="121" t="str">
        <f>'4o TRIMESTRE'!H31</f>
        <v>CONSTRUTORA FAELLA LTDA EPP</v>
      </c>
      <c r="I31" s="122" t="str">
        <f>'4o TRIMESTRE'!I31</f>
        <v>6-021/21</v>
      </c>
      <c r="J31" s="123">
        <f>'4o TRIMESTRE'!J31</f>
        <v>44365</v>
      </c>
      <c r="K31" s="122">
        <f>'4o TRIMESTRE'!K31</f>
        <v>790</v>
      </c>
      <c r="L31" s="18">
        <f>'4o TRIMESTRE'!L31</f>
        <v>6226475.1799999997</v>
      </c>
      <c r="M31" s="123">
        <f>'4o TRIMESTRE'!M31</f>
        <v>45155</v>
      </c>
      <c r="N31" s="122">
        <f>'4o TRIMESTRE'!N31</f>
        <v>0</v>
      </c>
      <c r="O31" s="18">
        <f>'4o TRIMESTRE'!O31</f>
        <v>310156</v>
      </c>
      <c r="P31" s="18">
        <v>1917782.34</v>
      </c>
      <c r="Q31" s="122" t="str">
        <f>'4o TRIMESTRE'!Q31</f>
        <v>3.3.90.39</v>
      </c>
      <c r="R31" s="18">
        <f>'4o TRIMESTRE'!R31</f>
        <v>3161238.55</v>
      </c>
      <c r="S31" s="18">
        <f>'4o TRIMESTRE'!S31</f>
        <v>166569.65</v>
      </c>
      <c r="T31" s="18">
        <f>'4o TRIMESTRE'!T31</f>
        <v>1578225.0699999998</v>
      </c>
      <c r="U31" s="18" t="e">
        <f>'4o TRIMESTRE'!U31</f>
        <v>#REF!</v>
      </c>
      <c r="V31" s="139" t="str">
        <f>'4o TRIMESTRE'!V31</f>
        <v>andamento</v>
      </c>
      <c r="W31" s="124" t="e">
        <f t="shared" si="0"/>
        <v>#REF!</v>
      </c>
      <c r="X31" s="138" t="str">
        <f t="shared" si="1"/>
        <v>verdadeiro</v>
      </c>
      <c r="Z31" s="42"/>
      <c r="AC31" s="124"/>
    </row>
    <row r="32" spans="1:29" ht="20.25" customHeight="1">
      <c r="A32" s="121" t="str">
        <f>'4o TRIMESTRE'!A32</f>
        <v>PREGÃO  / Nº 14/2016</v>
      </c>
      <c r="B32" s="121" t="str">
        <f>'4o TRIMESTRE'!B32</f>
        <v xml:space="preserve">SERVIÇOS DE LIMPEZA URBANA – DESTINAÇÃO FINAL DOS RESÍDUOS SÓLIDOS </v>
      </c>
      <c r="C32" s="121" t="str">
        <f>'4o TRIMESTRE'!C32</f>
        <v>02/2018 , 16/2019 e 01/2020</v>
      </c>
      <c r="D32" s="18">
        <f>'4o TRIMESTRE'!D32</f>
        <v>0</v>
      </c>
      <c r="E32" s="18">
        <f>'4o TRIMESTRE'!E32</f>
        <v>0</v>
      </c>
      <c r="F32" s="18">
        <f>'4o TRIMESTRE'!F32</f>
        <v>0</v>
      </c>
      <c r="G32" s="121" t="str">
        <f>'4o TRIMESTRE'!G32</f>
        <v>08.165.091/0002-08</v>
      </c>
      <c r="H32" s="121" t="str">
        <f>'4o TRIMESTRE'!H32</f>
        <v xml:space="preserve">ECOPESA AMBIENTAL S/A                   </v>
      </c>
      <c r="I32" s="122" t="str">
        <f>'4o TRIMESTRE'!I32</f>
        <v>6-022/16</v>
      </c>
      <c r="J32" s="123">
        <f>'4o TRIMESTRE'!J32</f>
        <v>42769</v>
      </c>
      <c r="K32" s="122">
        <f>'4o TRIMESTRE'!K32</f>
        <v>365</v>
      </c>
      <c r="L32" s="18">
        <f>'4o TRIMESTRE'!L32</f>
        <v>38286283.020000003</v>
      </c>
      <c r="M32" s="123">
        <f>'4o TRIMESTRE'!M32</f>
        <v>44776</v>
      </c>
      <c r="N32" s="122">
        <f>'4o TRIMESTRE'!N32</f>
        <v>1642</v>
      </c>
      <c r="O32" s="18">
        <f>'4o TRIMESTRE'!O32</f>
        <v>190010186.01999998</v>
      </c>
      <c r="P32" s="18">
        <v>1593718</v>
      </c>
      <c r="Q32" s="122" t="str">
        <f>'4o TRIMESTRE'!Q32</f>
        <v>3.3.90.39</v>
      </c>
      <c r="R32" s="18">
        <f>'4o TRIMESTRE'!R32</f>
        <v>164064779.25999999</v>
      </c>
      <c r="S32" s="18">
        <f>'4o TRIMESTRE'!S32</f>
        <v>0</v>
      </c>
      <c r="T32" s="18">
        <f>'4o TRIMESTRE'!T32</f>
        <v>8800458.8100000005</v>
      </c>
      <c r="U32" s="18" t="e">
        <f>'4o TRIMESTRE'!U32</f>
        <v>#REF!</v>
      </c>
      <c r="V32" s="139" t="str">
        <f>'4o TRIMESTRE'!V32</f>
        <v>andamento</v>
      </c>
      <c r="W32" s="124" t="e">
        <f t="shared" si="0"/>
        <v>#REF!</v>
      </c>
      <c r="X32" s="138" t="str">
        <f t="shared" si="1"/>
        <v>verdadeiro</v>
      </c>
      <c r="Z32" s="42"/>
      <c r="AC32" s="124"/>
    </row>
    <row r="33" spans="1:29" ht="20.25" customHeight="1">
      <c r="A33" s="121" t="str">
        <f>'4o TRIMESTRE'!A33</f>
        <v>CONCORRÊNCIA Licitação: 2/2021</v>
      </c>
      <c r="B33" s="121" t="str">
        <f>'4o TRIMESTRE'!B33</f>
        <v>RECUPERACAO DE ESCADARIAS. MUROS E CORRIMOES LOCALIZADAS NAS DIVERSAS NAS DIVERSAS REGIAO POLITICA ADMINISTRATIVA RPAS DA CIDADE DO RECIFE. DIVIDIDAS EM EM LOTES. LOTE I RPA 2; LOTE II RPA 3 E LOTE III RPA 4.5.6</v>
      </c>
      <c r="C33" s="121" t="str">
        <f>'4o TRIMESTRE'!C33</f>
        <v>495721/2018 e 02/2018 , 16/2019 e 01/2020</v>
      </c>
      <c r="D33" s="18" t="str">
        <f>'4o TRIMESTRE'!D33</f>
        <v>FINISA</v>
      </c>
      <c r="E33" s="18">
        <f>'4o TRIMESTRE'!E33</f>
        <v>113346677.56</v>
      </c>
      <c r="F33" s="18">
        <f>'4o TRIMESTRE'!F33</f>
        <v>0</v>
      </c>
      <c r="G33" s="121" t="str">
        <f>'4o TRIMESTRE'!G33</f>
        <v>07.693.988/0001-60</v>
      </c>
      <c r="H33" s="121" t="str">
        <f>'4o TRIMESTRE'!H33</f>
        <v>F R F ENGENHARIA LTDA</v>
      </c>
      <c r="I33" s="122" t="str">
        <f>'4o TRIMESTRE'!I33</f>
        <v>6-022/21</v>
      </c>
      <c r="J33" s="123">
        <f>'4o TRIMESTRE'!J33</f>
        <v>44365</v>
      </c>
      <c r="K33" s="122">
        <f>'4o TRIMESTRE'!K33</f>
        <v>790</v>
      </c>
      <c r="L33" s="18">
        <f>'4o TRIMESTRE'!L33</f>
        <v>9358982.3300000001</v>
      </c>
      <c r="M33" s="123">
        <f>'4o TRIMESTRE'!M33</f>
        <v>45155</v>
      </c>
      <c r="N33" s="122">
        <f>'4o TRIMESTRE'!N33</f>
        <v>0</v>
      </c>
      <c r="O33" s="18">
        <f>'4o TRIMESTRE'!O33</f>
        <v>0</v>
      </c>
      <c r="P33" s="18">
        <v>1971049.4</v>
      </c>
      <c r="Q33" s="122" t="str">
        <f>'4o TRIMESTRE'!Q33</f>
        <v>3.3.90.39</v>
      </c>
      <c r="R33" s="18">
        <f>'4o TRIMESTRE'!R33</f>
        <v>3286384.86</v>
      </c>
      <c r="S33" s="18">
        <f>'4o TRIMESTRE'!S33</f>
        <v>0</v>
      </c>
      <c r="T33" s="18">
        <f>'4o TRIMESTRE'!T33</f>
        <v>1907122.27</v>
      </c>
      <c r="U33" s="18" t="e">
        <f>'4o TRIMESTRE'!U33</f>
        <v>#REF!</v>
      </c>
      <c r="V33" s="139" t="str">
        <f>'4o TRIMESTRE'!V33</f>
        <v>encerrado</v>
      </c>
      <c r="W33" s="124" t="e">
        <f t="shared" si="0"/>
        <v>#REF!</v>
      </c>
      <c r="X33" s="138" t="str">
        <f t="shared" si="1"/>
        <v>verdadeiro</v>
      </c>
      <c r="Z33" s="42"/>
      <c r="AC33" s="124"/>
    </row>
    <row r="34" spans="1:29" ht="20.25" customHeight="1">
      <c r="A34" s="121" t="str">
        <f>'4o TRIMESTRE'!A34</f>
        <v>CONCORRÊNCIA 03/2016</v>
      </c>
      <c r="B34" s="121" t="str">
        <f>'4o TRIMESTRE'!B34</f>
        <v xml:space="preserve">SERVIÇOS DE APOIO TÉCNICO AO MKONITORAMENTO DAS AÇÕES DE MANUTENÇÃO DO SISTEMA VIÁRIO DA CIDADE DO RECIFE, </v>
      </c>
      <c r="C34" s="121">
        <f>'4o TRIMESTRE'!C34</f>
        <v>0</v>
      </c>
      <c r="D34" s="18">
        <f>'4o TRIMESTRE'!D34</f>
        <v>0</v>
      </c>
      <c r="E34" s="18">
        <f>'4o TRIMESTRE'!E34</f>
        <v>0</v>
      </c>
      <c r="F34" s="18">
        <f>'4o TRIMESTRE'!F34</f>
        <v>0</v>
      </c>
      <c r="G34" s="121" t="str">
        <f>'4o TRIMESTRE'!G34</f>
        <v xml:space="preserve">41.075.755/0001-32 </v>
      </c>
      <c r="H34" s="121" t="str">
        <f>'4o TRIMESTRE'!H34</f>
        <v>NORCONSULT PROJETOS E CONSULTORIA LTDA</v>
      </c>
      <c r="I34" s="122" t="str">
        <f>'4o TRIMESTRE'!I34</f>
        <v>6-023/16</v>
      </c>
      <c r="J34" s="123">
        <f>'4o TRIMESTRE'!J34</f>
        <v>42772</v>
      </c>
      <c r="K34" s="122">
        <f>'4o TRIMESTRE'!K34</f>
        <v>365</v>
      </c>
      <c r="L34" s="18">
        <f>'4o TRIMESTRE'!L34</f>
        <v>1777584.96</v>
      </c>
      <c r="M34" s="123">
        <f>'4o TRIMESTRE'!M34</f>
        <v>44597</v>
      </c>
      <c r="N34" s="122">
        <f>'4o TRIMESTRE'!N34</f>
        <v>1460</v>
      </c>
      <c r="O34" s="18">
        <f>'4o TRIMESTRE'!O34</f>
        <v>8848759.4399999995</v>
      </c>
      <c r="P34" s="18">
        <v>247242.23999999999</v>
      </c>
      <c r="Q34" s="122" t="str">
        <f>'4o TRIMESTRE'!Q34</f>
        <v>3.3.90.39</v>
      </c>
      <c r="R34" s="18">
        <f>'4o TRIMESTRE'!R34</f>
        <v>7522435.5100000007</v>
      </c>
      <c r="S34" s="18">
        <f>'4o TRIMESTRE'!S34</f>
        <v>327285.12</v>
      </c>
      <c r="T34" s="18">
        <f>'4o TRIMESTRE'!T34</f>
        <v>894426.43</v>
      </c>
      <c r="U34" s="18" t="e">
        <f>'4o TRIMESTRE'!U34</f>
        <v>#REF!</v>
      </c>
      <c r="V34" s="139" t="s">
        <v>190</v>
      </c>
      <c r="W34" s="124" t="e">
        <f t="shared" si="0"/>
        <v>#REF!</v>
      </c>
      <c r="X34" s="138" t="str">
        <f t="shared" si="1"/>
        <v>verdadeiro</v>
      </c>
      <c r="Z34" s="42"/>
      <c r="AC34" s="124"/>
    </row>
    <row r="35" spans="1:29" ht="20.25" customHeight="1">
      <c r="A35" s="121" t="str">
        <f>'4o TRIMESTRE'!A35</f>
        <v>CONCORRÊNCIA Licitação: 2/2021</v>
      </c>
      <c r="B35" s="121" t="str">
        <f>'4o TRIMESTRE'!B35</f>
        <v>RECUPERACAO DE ESCADARIAS. MUROS E CORRIMOES LOCALIZADAS NAS DIVERSAS NAS DIVERSAS REGIAO POLITICA ADMINISTRATIVA RPAS DA CIDADE DO RECIFE. DIVIDIDAS EM EM LOTES. LOTE I RPA 2; LOTE II RPA 3 E LOTE III RPA 4.5.6</v>
      </c>
      <c r="C35" s="121" t="str">
        <f>'4o TRIMESTRE'!C35</f>
        <v>495721/2018 e 02/2018 , 16/2019 e 01/2020</v>
      </c>
      <c r="D35" s="18" t="str">
        <f>'4o TRIMESTRE'!D35</f>
        <v>FINISA</v>
      </c>
      <c r="E35" s="18">
        <f>'4o TRIMESTRE'!E35</f>
        <v>113346677.56</v>
      </c>
      <c r="F35" s="18">
        <f>'4o TRIMESTRE'!F35</f>
        <v>0</v>
      </c>
      <c r="G35" s="121" t="str">
        <f>'4o TRIMESTRE'!G35</f>
        <v>10.811.370/0001-62</v>
      </c>
      <c r="H35" s="121" t="str">
        <f>'4o TRIMESTRE'!H35</f>
        <v>GUERRA CONSTRUCOES LTDA</v>
      </c>
      <c r="I35" s="122" t="str">
        <f>'4o TRIMESTRE'!I35</f>
        <v>6-023/21</v>
      </c>
      <c r="J35" s="123">
        <f>'4o TRIMESTRE'!J35</f>
        <v>44365</v>
      </c>
      <c r="K35" s="122">
        <f>'4o TRIMESTRE'!K35</f>
        <v>790</v>
      </c>
      <c r="L35" s="18">
        <f>'4o TRIMESTRE'!L35</f>
        <v>7403917.6600000001</v>
      </c>
      <c r="M35" s="123">
        <f>'4o TRIMESTRE'!M35</f>
        <v>45245</v>
      </c>
      <c r="N35" s="122">
        <f>'4o TRIMESTRE'!N35</f>
        <v>90</v>
      </c>
      <c r="O35" s="18">
        <f>'4o TRIMESTRE'!O35</f>
        <v>0</v>
      </c>
      <c r="P35" s="18">
        <v>2599684.0299999998</v>
      </c>
      <c r="Q35" s="122" t="str">
        <f>'4o TRIMESTRE'!Q35</f>
        <v>3.3.90.39</v>
      </c>
      <c r="R35" s="18">
        <f>'4o TRIMESTRE'!R35</f>
        <v>3414646.8400000003</v>
      </c>
      <c r="S35" s="18">
        <f>'4o TRIMESTRE'!S35</f>
        <v>77778.37</v>
      </c>
      <c r="T35" s="18">
        <f>'4o TRIMESTRE'!T35</f>
        <v>1218804.8599999999</v>
      </c>
      <c r="U35" s="18" t="e">
        <f>'4o TRIMESTRE'!U35</f>
        <v>#REF!</v>
      </c>
      <c r="V35" s="139" t="str">
        <f>'4o TRIMESTRE'!V35</f>
        <v>encerrado</v>
      </c>
      <c r="W35" s="124" t="e">
        <f t="shared" si="0"/>
        <v>#REF!</v>
      </c>
      <c r="X35" s="138" t="str">
        <f t="shared" si="1"/>
        <v>verdadeiro</v>
      </c>
      <c r="Y35" s="126"/>
      <c r="Z35" s="42"/>
      <c r="AA35" s="12"/>
      <c r="AB35" s="42"/>
      <c r="AC35" s="124"/>
    </row>
    <row r="36" spans="1:29" ht="20.25" customHeight="1">
      <c r="A36" s="121" t="str">
        <f>'4o TRIMESTRE'!A36</f>
        <v>PREGÃO  / Nº 14/2016</v>
      </c>
      <c r="B36" s="121" t="str">
        <f>'4o TRIMESTRE'!B36</f>
        <v xml:space="preserve">SERVIÇOS DE LIMPEZA URBANA – DESTINAÇÃO FINAL DOS RESÍDUOS SÓLIDOS </v>
      </c>
      <c r="C36" s="121" t="str">
        <f>'4o TRIMESTRE'!C36</f>
        <v>535346/2020</v>
      </c>
      <c r="D36" s="18">
        <f>'4o TRIMESTRE'!D36</f>
        <v>0</v>
      </c>
      <c r="E36" s="18">
        <f>'4o TRIMESTRE'!E36</f>
        <v>15823300.23</v>
      </c>
      <c r="F36" s="18">
        <f>'4o TRIMESTRE'!F36</f>
        <v>0</v>
      </c>
      <c r="G36" s="121" t="str">
        <f>'4o TRIMESTRE'!G36</f>
        <v>08.165.091/0002-08</v>
      </c>
      <c r="H36" s="121" t="str">
        <f>'4o TRIMESTRE'!H36</f>
        <v xml:space="preserve">ECOPESA AMBIENTAL S/A                   </v>
      </c>
      <c r="I36" s="122" t="str">
        <f>'4o TRIMESTRE'!I36</f>
        <v>6-024/16</v>
      </c>
      <c r="J36" s="123">
        <f>'4o TRIMESTRE'!J36</f>
        <v>42769</v>
      </c>
      <c r="K36" s="122">
        <f>'4o TRIMESTRE'!K36</f>
        <v>365</v>
      </c>
      <c r="L36" s="18">
        <f>'4o TRIMESTRE'!L36</f>
        <v>8888698.4900000002</v>
      </c>
      <c r="M36" s="123">
        <f>'4o TRIMESTRE'!M36</f>
        <v>44776</v>
      </c>
      <c r="N36" s="122">
        <f>'4o TRIMESTRE'!N36</f>
        <v>1642</v>
      </c>
      <c r="O36" s="18">
        <f>'4o TRIMESTRE'!O36</f>
        <v>43850158.57</v>
      </c>
      <c r="P36" s="18">
        <v>0</v>
      </c>
      <c r="Q36" s="122" t="str">
        <f>'4o TRIMESTRE'!Q36</f>
        <v>3.3.90.39</v>
      </c>
      <c r="R36" s="18">
        <f>'4o TRIMESTRE'!R36</f>
        <v>38758644.540000007</v>
      </c>
      <c r="S36" s="18">
        <f>'4o TRIMESTRE'!S36</f>
        <v>0</v>
      </c>
      <c r="T36" s="18">
        <f>'4o TRIMESTRE'!T36</f>
        <v>2242659.59</v>
      </c>
      <c r="U36" s="18" t="e">
        <f>'4o TRIMESTRE'!U36</f>
        <v>#REF!</v>
      </c>
      <c r="V36" s="139" t="str">
        <f>'4o TRIMESTRE'!V36</f>
        <v>andamento</v>
      </c>
      <c r="W36" s="124" t="e">
        <f t="shared" si="0"/>
        <v>#REF!</v>
      </c>
      <c r="X36" s="138" t="str">
        <f t="shared" si="1"/>
        <v>verdadeiro</v>
      </c>
      <c r="Z36" s="42"/>
      <c r="AC36" s="124"/>
    </row>
    <row r="37" spans="1:29" ht="20.25" customHeight="1">
      <c r="A37" s="121" t="str">
        <f>'4o TRIMESTRE'!A37</f>
        <v>CONCORRÊNCIA Licitação:    004/2019</v>
      </c>
      <c r="B37" s="121" t="str">
        <f>'4o TRIMESTRE'!B37</f>
        <v>SERVIÇOS COMPLEMENTARES DE LIMPEZA URBANA EM ÁREAS PLANAS E DE TALUDE E SERVIÇOS DE MANUTENÇÃO CONTÍNUA PREVENTIVA E CORRETIVA DA ARBORIZAÇÃO URBANA EM MORROS, INCLUINDO A LOCAÇÃO DE VEÍCULOS E EQUIPAMENTOS.</v>
      </c>
      <c r="C37" s="121">
        <f>'4o TRIMESTRE'!C37</f>
        <v>0</v>
      </c>
      <c r="D37" s="18">
        <f>'4o TRIMESTRE'!D37</f>
        <v>0</v>
      </c>
      <c r="E37" s="18">
        <f>'4o TRIMESTRE'!E37</f>
        <v>0</v>
      </c>
      <c r="F37" s="18">
        <f>'4o TRIMESTRE'!F37</f>
        <v>0</v>
      </c>
      <c r="G37" s="121" t="str">
        <f>'4o TRIMESTRE'!G37</f>
        <v>40.884.405/0001-54</v>
      </c>
      <c r="H37" s="121" t="str">
        <f>'4o TRIMESTRE'!H37</f>
        <v>LOQUIPE LOCACAO DE EQUIPAMENTOS E MAO DE OBRA LTDA</v>
      </c>
      <c r="I37" s="122" t="str">
        <f>'4o TRIMESTRE'!I37</f>
        <v>6-024/19</v>
      </c>
      <c r="J37" s="123">
        <f>'4o TRIMESTRE'!J37</f>
        <v>43633</v>
      </c>
      <c r="K37" s="122">
        <f>'4o TRIMESTRE'!K37</f>
        <v>395</v>
      </c>
      <c r="L37" s="18">
        <f>'4o TRIMESTRE'!L37</f>
        <v>12390281.279999999</v>
      </c>
      <c r="M37" s="123">
        <f>'4o TRIMESTRE'!M37</f>
        <v>44758</v>
      </c>
      <c r="N37" s="122">
        <f>'4o TRIMESTRE'!N37</f>
        <v>730</v>
      </c>
      <c r="O37" s="18">
        <f>'4o TRIMESTRE'!O37</f>
        <v>28104956.880000003</v>
      </c>
      <c r="P37" s="18">
        <v>6210860.2599999998</v>
      </c>
      <c r="Q37" s="122" t="str">
        <f>'4o TRIMESTRE'!Q37</f>
        <v>3.3.90.39</v>
      </c>
      <c r="R37" s="18">
        <f>'4o TRIMESTRE'!R37</f>
        <v>37514440.380000003</v>
      </c>
      <c r="S37" s="18">
        <f>'4o TRIMESTRE'!S37</f>
        <v>8631795.9100000001</v>
      </c>
      <c r="T37" s="18">
        <f>'4o TRIMESTRE'!T37</f>
        <v>18712474.030000001</v>
      </c>
      <c r="U37" s="18" t="e">
        <f>'4o TRIMESTRE'!U37</f>
        <v>#REF!</v>
      </c>
      <c r="V37" s="139" t="str">
        <f>'4o TRIMESTRE'!V37</f>
        <v>andamento</v>
      </c>
      <c r="W37" s="124" t="e">
        <f t="shared" si="0"/>
        <v>#REF!</v>
      </c>
      <c r="X37" s="138" t="str">
        <f t="shared" si="1"/>
        <v>verdadeiro</v>
      </c>
      <c r="Z37" s="42"/>
      <c r="AA37" s="12"/>
      <c r="AB37" s="45"/>
      <c r="AC37" s="124"/>
    </row>
    <row r="38" spans="1:29" ht="20.25" customHeight="1">
      <c r="A38" s="121" t="str">
        <f>'4o TRIMESTRE'!A38</f>
        <v>CONCORRÊNCIA Licitação: 1/2020</v>
      </c>
      <c r="B38" s="121" t="str">
        <f>'4o TRIMESTRE'!B38</f>
        <v>SERVIÇOS DE MANUTENÇÃO CORRETIVA DE VIAS NÃO PAVIMENTADAS DO SISTEMA VIÁRIO DA CIDADE DO RECIFE, COMPOSTOS BASICAMENTE POR SERVIÇOS DE TERRAPLENAGEM.</v>
      </c>
      <c r="C38" s="121" t="str">
        <f>'4o TRIMESTRE'!C38</f>
        <v>495721/2018 e 535346/2020</v>
      </c>
      <c r="D38" s="18">
        <f>'4o TRIMESTRE'!D38</f>
        <v>0</v>
      </c>
      <c r="E38" s="18">
        <f>'4o TRIMESTRE'!E38</f>
        <v>15823300.23</v>
      </c>
      <c r="F38" s="18">
        <f>'4o TRIMESTRE'!F38</f>
        <v>0</v>
      </c>
      <c r="G38" s="121" t="str">
        <f>'4o TRIMESTRE'!G38</f>
        <v>40.884.405/0001-54</v>
      </c>
      <c r="H38" s="121" t="str">
        <f>'4o TRIMESTRE'!H38</f>
        <v>LOQUIPE LOCACAO DE EQUIPAMENTOS E MAO DE OBRA LTDA</v>
      </c>
      <c r="I38" s="122" t="str">
        <f>'4o TRIMESTRE'!I38</f>
        <v>6-024/20</v>
      </c>
      <c r="J38" s="123">
        <f>'4o TRIMESTRE'!J38</f>
        <v>44084</v>
      </c>
      <c r="K38" s="122">
        <f>'4o TRIMESTRE'!K38</f>
        <v>760</v>
      </c>
      <c r="L38" s="18">
        <f>'4o TRIMESTRE'!L38</f>
        <v>2567335.44</v>
      </c>
      <c r="M38" s="123">
        <f>'4o TRIMESTRE'!M38</f>
        <v>44844</v>
      </c>
      <c r="N38" s="122">
        <f>'4o TRIMESTRE'!N38</f>
        <v>0</v>
      </c>
      <c r="O38" s="18">
        <f>'4o TRIMESTRE'!O38</f>
        <v>0</v>
      </c>
      <c r="P38" s="18">
        <v>-30778.06</v>
      </c>
      <c r="Q38" s="122" t="str">
        <f>'4o TRIMESTRE'!Q38</f>
        <v>3.3.90.39</v>
      </c>
      <c r="R38" s="18">
        <f>'4o TRIMESTRE'!R38</f>
        <v>1650108.01</v>
      </c>
      <c r="S38" s="18">
        <f>'4o TRIMESTRE'!S38</f>
        <v>0</v>
      </c>
      <c r="T38" s="18">
        <f>'4o TRIMESTRE'!T38</f>
        <v>174397.54</v>
      </c>
      <c r="U38" s="18" t="e">
        <f>'4o TRIMESTRE'!U38</f>
        <v>#REF!</v>
      </c>
      <c r="V38" s="139" t="str">
        <f>'4o TRIMESTRE'!V38</f>
        <v>andamento</v>
      </c>
      <c r="W38" s="124" t="e">
        <f t="shared" si="0"/>
        <v>#REF!</v>
      </c>
      <c r="X38" s="138" t="str">
        <f t="shared" si="1"/>
        <v>verdadeiro</v>
      </c>
      <c r="Z38" s="42"/>
      <c r="AC38" s="124"/>
    </row>
    <row r="39" spans="1:29" ht="20.25" customHeight="1">
      <c r="A39" s="121" t="str">
        <f>'4o TRIMESTRE'!A39</f>
        <v>CONCORRÊNCIA Licitação: 18/2020</v>
      </c>
      <c r="B39" s="121" t="str">
        <f>'4o TRIMESTRE'!B39</f>
        <v>CONTRATACAO DE SERVICOS DE MANUTENCAO PREVENTIVA IMPLANTACAO. REQUALIFICACAO E OU RECAPEAMENTO DE VIAS EM CONCRETO BETUMINOSO USINADO A QUENTE CBUQ DO SISTEMA VIARIO DA CIDADE DO RECIFE LOTE I RPA 1</v>
      </c>
      <c r="C39" s="121" t="str">
        <f>'4o TRIMESTRE'!C39</f>
        <v>495721/2018 e 02/2018 , 16/2019 e 01/2020</v>
      </c>
      <c r="D39" s="18" t="str">
        <f>'4o TRIMESTRE'!D39</f>
        <v>FINISA e CTTU</v>
      </c>
      <c r="E39" s="18">
        <f>'4o TRIMESTRE'!E39</f>
        <v>139865458.63</v>
      </c>
      <c r="F39" s="18">
        <f>'4o TRIMESTRE'!F39</f>
        <v>0</v>
      </c>
      <c r="G39" s="121" t="str">
        <f>'4o TRIMESTRE'!G39</f>
        <v>40.882.060/0001-08</v>
      </c>
      <c r="H39" s="121" t="str">
        <f>'4o TRIMESTRE'!H39</f>
        <v>LIDERMAC CONSTRUCOES E EQUIPAMENTOS LTDA</v>
      </c>
      <c r="I39" s="122" t="str">
        <f>'4o TRIMESTRE'!I39</f>
        <v>6-024/21</v>
      </c>
      <c r="J39" s="123">
        <f>'4o TRIMESTRE'!J39</f>
        <v>44370</v>
      </c>
      <c r="K39" s="122">
        <f>'4o TRIMESTRE'!K39</f>
        <v>760</v>
      </c>
      <c r="L39" s="18">
        <f>'4o TRIMESTRE'!L39</f>
        <v>16439785.83</v>
      </c>
      <c r="M39" s="123">
        <f>'4o TRIMESTRE'!M39</f>
        <v>45160</v>
      </c>
      <c r="N39" s="122">
        <f>'4o TRIMESTRE'!N39</f>
        <v>30</v>
      </c>
      <c r="O39" s="18">
        <f>'4o TRIMESTRE'!O39</f>
        <v>0</v>
      </c>
      <c r="P39" s="18">
        <v>1397138.35</v>
      </c>
      <c r="Q39" s="122" t="str">
        <f>'4o TRIMESTRE'!Q39</f>
        <v>4.4.90.39</v>
      </c>
      <c r="R39" s="18">
        <f>'4o TRIMESTRE'!R39</f>
        <v>4939448.38</v>
      </c>
      <c r="S39" s="18">
        <f>'4o TRIMESTRE'!S39</f>
        <v>0</v>
      </c>
      <c r="T39" s="18">
        <f>'4o TRIMESTRE'!T39</f>
        <v>186593.99</v>
      </c>
      <c r="U39" s="18" t="e">
        <f>'4o TRIMESTRE'!U39</f>
        <v>#REF!</v>
      </c>
      <c r="V39" s="139" t="str">
        <f>'4o TRIMESTRE'!V39</f>
        <v>encerrado</v>
      </c>
      <c r="W39" s="124" t="e">
        <f t="shared" si="0"/>
        <v>#REF!</v>
      </c>
      <c r="X39" s="138" t="str">
        <f t="shared" si="1"/>
        <v>verdadeiro</v>
      </c>
      <c r="Z39" s="42"/>
      <c r="AC39" s="124"/>
    </row>
    <row r="40" spans="1:29" ht="20.25" customHeight="1">
      <c r="A40" s="121" t="str">
        <f>'4o TRIMESTRE'!A40</f>
        <v>PREGÃO PRESENCIAL/ Nº 014/2016</v>
      </c>
      <c r="B40" s="121" t="str">
        <f>'4o TRIMESTRE'!B40</f>
        <v>SERVIÇO DE LIMPEZA URBANA - DESTINAÇÃO FINAL DOS RESÍDUOS SÓLIDOS</v>
      </c>
      <c r="C40" s="121" t="str">
        <f>'4o TRIMESTRE'!C40</f>
        <v>535346/2020</v>
      </c>
      <c r="D40" s="18">
        <f>'4o TRIMESTRE'!D40</f>
        <v>0</v>
      </c>
      <c r="E40" s="18">
        <f>'4o TRIMESTRE'!E40</f>
        <v>15823300.23</v>
      </c>
      <c r="F40" s="18">
        <f>'4o TRIMESTRE'!F40</f>
        <v>0</v>
      </c>
      <c r="G40" s="121" t="str">
        <f>'4o TRIMESTRE'!G40</f>
        <v>41.116.138/0001-38</v>
      </c>
      <c r="H40" s="121" t="str">
        <f>'4o TRIMESTRE'!H40</f>
        <v>CICLO AMBIENTAL LTDA</v>
      </c>
      <c r="I40" s="122" t="str">
        <f>'4o TRIMESTRE'!I40</f>
        <v>6-025/16</v>
      </c>
      <c r="J40" s="123">
        <f>'4o TRIMESTRE'!J40</f>
        <v>42814</v>
      </c>
      <c r="K40" s="122">
        <f>'4o TRIMESTRE'!K40</f>
        <v>365</v>
      </c>
      <c r="L40" s="18">
        <f>'4o TRIMESTRE'!L40</f>
        <v>3423770.88</v>
      </c>
      <c r="M40" s="123">
        <f>'4o TRIMESTRE'!M40</f>
        <v>44959</v>
      </c>
      <c r="N40" s="122">
        <f>'4o TRIMESTRE'!N40</f>
        <v>1780</v>
      </c>
      <c r="O40" s="18">
        <f>'4o TRIMESTRE'!O40</f>
        <v>23484577.199999999</v>
      </c>
      <c r="P40" s="18">
        <v>0</v>
      </c>
      <c r="Q40" s="122" t="str">
        <f>'4o TRIMESTRE'!Q40</f>
        <v>3.3.90.39</v>
      </c>
      <c r="R40" s="18">
        <f>'4o TRIMESTRE'!R40</f>
        <v>20750532.399999999</v>
      </c>
      <c r="S40" s="18">
        <f>'4o TRIMESTRE'!S40</f>
        <v>0</v>
      </c>
      <c r="T40" s="18">
        <f>'4o TRIMESTRE'!T40</f>
        <v>589433.02</v>
      </c>
      <c r="U40" s="18" t="e">
        <f>'4o TRIMESTRE'!U40</f>
        <v>#REF!</v>
      </c>
      <c r="V40" s="139" t="str">
        <f>'4o TRIMESTRE'!V40</f>
        <v>andamento</v>
      </c>
      <c r="W40" s="124" t="e">
        <f t="shared" si="0"/>
        <v>#REF!</v>
      </c>
      <c r="X40" s="138" t="str">
        <f t="shared" si="1"/>
        <v>verdadeiro</v>
      </c>
      <c r="Z40" s="42"/>
      <c r="AC40" s="124"/>
    </row>
    <row r="41" spans="1:29" ht="20.25" customHeight="1">
      <c r="A41" s="121" t="str">
        <f>'4o TRIMESTRE'!A41</f>
        <v>CONCORRÊNCIA Licitação: 18/2020</v>
      </c>
      <c r="B41" s="121" t="str">
        <f>'4o TRIMESTRE'!B41</f>
        <v>CONTRATACAO DE SERVICOS DE MANUTENCAO PREVENTIVA IMPLANTACAO. REQUALIFICACAO E OU RECAPEAMENTO DE VIAS EM CONCRETO BETUMINOSO USINADO A QUENTE CBUQ DO SISTEMA VIARIO DA CIDADE DO RECIFE LOTE II RPA 2 E 3</v>
      </c>
      <c r="C41" s="121">
        <f>'4o TRIMESTRE'!C41</f>
        <v>0</v>
      </c>
      <c r="D41" s="18" t="str">
        <f>'4o TRIMESTRE'!D41</f>
        <v>FINISA e CTTU</v>
      </c>
      <c r="E41" s="18">
        <f>'4o TRIMESTRE'!E41</f>
        <v>139865458.63</v>
      </c>
      <c r="F41" s="18">
        <f>'4o TRIMESTRE'!F41</f>
        <v>0</v>
      </c>
      <c r="G41" s="121" t="str">
        <f>'4o TRIMESTRE'!G41</f>
        <v>00.999.591/0001-52</v>
      </c>
      <c r="H41" s="121" t="str">
        <f>'4o TRIMESTRE'!H41</f>
        <v xml:space="preserve">AGC CONSTRUTORA E EMPREENDIMENTOS LTDA      </v>
      </c>
      <c r="I41" s="122" t="str">
        <f>'4o TRIMESTRE'!I41</f>
        <v>6-025/21</v>
      </c>
      <c r="J41" s="123">
        <f>'4o TRIMESTRE'!J41</f>
        <v>44370</v>
      </c>
      <c r="K41" s="122">
        <f>'4o TRIMESTRE'!K41</f>
        <v>760</v>
      </c>
      <c r="L41" s="18">
        <f>'4o TRIMESTRE'!L41</f>
        <v>16994062.079999998</v>
      </c>
      <c r="M41" s="123">
        <f>'4o TRIMESTRE'!M41</f>
        <v>45130</v>
      </c>
      <c r="N41" s="122">
        <f>'4o TRIMESTRE'!N41</f>
        <v>0</v>
      </c>
      <c r="O41" s="18">
        <f>'4o TRIMESTRE'!O41</f>
        <v>2591606</v>
      </c>
      <c r="P41" s="18">
        <v>209567711.41</v>
      </c>
      <c r="Q41" s="122" t="str">
        <f>'4o TRIMESTRE'!Q41</f>
        <v>4.4.90.39</v>
      </c>
      <c r="R41" s="18">
        <f>'4o TRIMESTRE'!R41</f>
        <v>60830406.43</v>
      </c>
      <c r="S41" s="18">
        <f>'4o TRIMESTRE'!S41</f>
        <v>11815813.510000002</v>
      </c>
      <c r="T41" s="18">
        <f>'4o TRIMESTRE'!T41</f>
        <v>52284121.590000004</v>
      </c>
      <c r="U41" s="18" t="e">
        <f>'4o TRIMESTRE'!U41</f>
        <v>#REF!</v>
      </c>
      <c r="V41" s="139" t="str">
        <f>'4o TRIMESTRE'!V41</f>
        <v>encerrado</v>
      </c>
      <c r="W41" s="124" t="e">
        <f t="shared" si="0"/>
        <v>#REF!</v>
      </c>
      <c r="X41" s="138" t="str">
        <f t="shared" si="1"/>
        <v>verdadeiro</v>
      </c>
      <c r="Z41" s="42"/>
      <c r="AC41" s="124"/>
    </row>
    <row r="42" spans="1:29" ht="20.25" customHeight="1">
      <c r="A42" s="121" t="str">
        <f>'4o TRIMESTRE'!A42</f>
        <v>CONCORRÊNCIA Licitação: 18/2020</v>
      </c>
      <c r="B42" s="121" t="str">
        <f>'4o TRIMESTRE'!B42</f>
        <v>CONTRATACAO DE SERVICOS DE MANUTENCAO PREVENTIVA IMPLANTACAO. REQUALIFICACAO E OU RECAPEAMENTO DE VIAS EM CONCRETO BETUMINOSO USINADO A QUENTE CBUQ DO SISTEMA VIARIO DA CIDADE DO RECIFE LOTES III RPA 4 E 5</v>
      </c>
      <c r="C42" s="121">
        <f>'4o TRIMESTRE'!C42</f>
        <v>0</v>
      </c>
      <c r="D42" s="18" t="str">
        <f>'4o TRIMESTRE'!D42</f>
        <v>FINISA e CTTU</v>
      </c>
      <c r="E42" s="18">
        <f>'4o TRIMESTRE'!E42</f>
        <v>139865458.63</v>
      </c>
      <c r="F42" s="18">
        <f>'4o TRIMESTRE'!F42</f>
        <v>0</v>
      </c>
      <c r="G42" s="121" t="str">
        <f>'4o TRIMESTRE'!G42</f>
        <v>23.742.620/0001-00</v>
      </c>
      <c r="H42" s="121" t="str">
        <f>'4o TRIMESTRE'!H42</f>
        <v>INSTTALE ENGENHARIA LTDA</v>
      </c>
      <c r="I42" s="122" t="str">
        <f>'4o TRIMESTRE'!I42</f>
        <v>6-026/21</v>
      </c>
      <c r="J42" s="123">
        <f>'4o TRIMESTRE'!J42</f>
        <v>44370</v>
      </c>
      <c r="K42" s="122">
        <f>'4o TRIMESTRE'!K42</f>
        <v>760</v>
      </c>
      <c r="L42" s="18">
        <f>'4o TRIMESTRE'!L42</f>
        <v>21157084.25</v>
      </c>
      <c r="M42" s="123">
        <f>'4o TRIMESTRE'!M42</f>
        <v>45130</v>
      </c>
      <c r="N42" s="122">
        <f>'4o TRIMESTRE'!N42</f>
        <v>0</v>
      </c>
      <c r="O42" s="18">
        <f>'4o TRIMESTRE'!O42</f>
        <v>4769947.8499999996</v>
      </c>
      <c r="P42" s="18">
        <v>88092.12</v>
      </c>
      <c r="Q42" s="122" t="str">
        <f>'4o TRIMESTRE'!Q42</f>
        <v>4.4.90.39</v>
      </c>
      <c r="R42" s="18">
        <f>'4o TRIMESTRE'!R42</f>
        <v>13724142.510000002</v>
      </c>
      <c r="S42" s="18">
        <f>'4o TRIMESTRE'!S42</f>
        <v>547961.73</v>
      </c>
      <c r="T42" s="18">
        <f>'4o TRIMESTRE'!T42</f>
        <v>3466137.82</v>
      </c>
      <c r="U42" s="18" t="e">
        <f>'4o TRIMESTRE'!U42</f>
        <v>#REF!</v>
      </c>
      <c r="V42" s="139" t="str">
        <f>'4o TRIMESTRE'!V42</f>
        <v>andamento</v>
      </c>
      <c r="W42" s="124" t="e">
        <f t="shared" si="0"/>
        <v>#REF!</v>
      </c>
      <c r="X42" s="138" t="str">
        <f t="shared" si="1"/>
        <v>verdadeiro</v>
      </c>
      <c r="Z42" s="42"/>
      <c r="AC42" s="124"/>
    </row>
    <row r="43" spans="1:29" ht="20.25" customHeight="1">
      <c r="A43" s="121" t="str">
        <f>'4o TRIMESTRE'!A43</f>
        <v>CONCORRÊNCIA Licitação: 3/2020</v>
      </c>
      <c r="B43" s="121" t="str">
        <f>'4o TRIMESTRE'!B43</f>
        <v>SERVIÇOS DE IMPLANTAÇÃO/REQUALIFICAÇÃO DA REDE DE DRENAGEM E PAVIMENTAÇÃO DAS RUAS DAVID NASSER E SENADOR THOMAZ LOBO</v>
      </c>
      <c r="C43" s="121">
        <f>'4o TRIMESTRE'!C43</f>
        <v>0</v>
      </c>
      <c r="D43" s="18" t="str">
        <f>'4o TRIMESTRE'!D43</f>
        <v>FINISA</v>
      </c>
      <c r="E43" s="18">
        <f>'4o TRIMESTRE'!E43</f>
        <v>94508747.5</v>
      </c>
      <c r="F43" s="18">
        <f>'4o TRIMESTRE'!F43</f>
        <v>0</v>
      </c>
      <c r="G43" s="121" t="str">
        <f>'4o TRIMESTRE'!G43</f>
        <v>07.157.925/0001-90</v>
      </c>
      <c r="H43" s="121" t="str">
        <f>'4o TRIMESTRE'!H43</f>
        <v>WB CONSTRUTORA LTDA</v>
      </c>
      <c r="I43" s="122" t="str">
        <f>'4o TRIMESTRE'!I43</f>
        <v>6-027/20</v>
      </c>
      <c r="J43" s="123">
        <f>'4o TRIMESTRE'!J43</f>
        <v>44089</v>
      </c>
      <c r="K43" s="122">
        <f>'4o TRIMESTRE'!K43</f>
        <v>210</v>
      </c>
      <c r="L43" s="18">
        <f>'4o TRIMESTRE'!L43</f>
        <v>3335155.86</v>
      </c>
      <c r="M43" s="123">
        <f>'4o TRIMESTRE'!M43</f>
        <v>44584</v>
      </c>
      <c r="N43" s="122">
        <f>'4o TRIMESTRE'!N43</f>
        <v>285</v>
      </c>
      <c r="O43" s="18">
        <f>'4o TRIMESTRE'!O43</f>
        <v>767945.97</v>
      </c>
      <c r="P43" s="18">
        <v>-21911.98</v>
      </c>
      <c r="Q43" s="122" t="str">
        <f>'4o TRIMESTRE'!Q43</f>
        <v>4.4.90.39</v>
      </c>
      <c r="R43" s="18">
        <f>'4o TRIMESTRE'!R43</f>
        <v>3486185.38</v>
      </c>
      <c r="S43" s="18">
        <f>'4o TRIMESTRE'!S43</f>
        <v>0</v>
      </c>
      <c r="T43" s="18">
        <f>'4o TRIMESTRE'!T43</f>
        <v>538484.02</v>
      </c>
      <c r="U43" s="18" t="e">
        <f>'4o TRIMESTRE'!U43</f>
        <v>#REF!</v>
      </c>
      <c r="V43" s="139" t="str">
        <f>'4o TRIMESTRE'!V43</f>
        <v>encerrado</v>
      </c>
      <c r="W43" s="124" t="e">
        <f t="shared" si="0"/>
        <v>#REF!</v>
      </c>
      <c r="X43" s="138" t="str">
        <f t="shared" si="1"/>
        <v>verdadeiro</v>
      </c>
      <c r="Z43" s="42"/>
      <c r="AC43" s="124"/>
    </row>
    <row r="44" spans="1:29" ht="20.25" customHeight="1">
      <c r="A44" s="121" t="str">
        <f>'4o TRIMESTRE'!A44</f>
        <v>CONCORRÊNCIA Licitação: 18/2020</v>
      </c>
      <c r="B44" s="121" t="str">
        <f>'4o TRIMESTRE'!B44</f>
        <v>CONTRATACAO DE SERVICOS DE MANUTENCAO PREVENTIVA IMPLANTACAO. REQUALIFICACAO E OU RECAPEAMENTO DE VIAS EM CONCRETO BETUMINOSO USINADO A QUENTE CBUQ DO SISTEMA VIARIO DA CIDADE DO RECIFE LOTE IV RPA 6</v>
      </c>
      <c r="C44" s="121" t="str">
        <f>'4o TRIMESTRE'!C44</f>
        <v>495721/2018 e 02/2018 , 16/2019 e 01/2020</v>
      </c>
      <c r="D44" s="18" t="str">
        <f>'4o TRIMESTRE'!D44</f>
        <v>FINISA e CTTU</v>
      </c>
      <c r="E44" s="18">
        <f>'4o TRIMESTRE'!E44</f>
        <v>139865458.63</v>
      </c>
      <c r="F44" s="18">
        <f>'4o TRIMESTRE'!F44</f>
        <v>0</v>
      </c>
      <c r="G44" s="121" t="str">
        <f>'4o TRIMESTRE'!G44</f>
        <v>40.882.060/0001-08</v>
      </c>
      <c r="H44" s="121" t="str">
        <f>'4o TRIMESTRE'!H44</f>
        <v>LIDERMAC CONSTRUCOES E EQUIPAMENTOS LTDA</v>
      </c>
      <c r="I44" s="122" t="str">
        <f>'4o TRIMESTRE'!I44</f>
        <v>6-027/21</v>
      </c>
      <c r="J44" s="123">
        <f>'4o TRIMESTRE'!J44</f>
        <v>44370</v>
      </c>
      <c r="K44" s="122">
        <f>'4o TRIMESTRE'!K44</f>
        <v>760</v>
      </c>
      <c r="L44" s="18">
        <f>'4o TRIMESTRE'!L44</f>
        <v>17242398.460000001</v>
      </c>
      <c r="M44" s="123">
        <f>'4o TRIMESTRE'!M44</f>
        <v>45130</v>
      </c>
      <c r="N44" s="122">
        <f>'4o TRIMESTRE'!N44</f>
        <v>0</v>
      </c>
      <c r="O44" s="18">
        <f>'4o TRIMESTRE'!O44</f>
        <v>0</v>
      </c>
      <c r="P44" s="18">
        <v>2897889.33</v>
      </c>
      <c r="Q44" s="122" t="str">
        <f>'4o TRIMESTRE'!Q44</f>
        <v>4.4.90.39</v>
      </c>
      <c r="R44" s="18">
        <f>'4o TRIMESTRE'!R44</f>
        <v>5485940.3599999994</v>
      </c>
      <c r="S44" s="18">
        <f>'4o TRIMESTRE'!S44</f>
        <v>0</v>
      </c>
      <c r="T44" s="18">
        <f>'4o TRIMESTRE'!T44</f>
        <v>515363.27</v>
      </c>
      <c r="U44" s="18" t="e">
        <f>'4o TRIMESTRE'!U44</f>
        <v>#REF!</v>
      </c>
      <c r="V44" s="139" t="str">
        <f>'4o TRIMESTRE'!V44</f>
        <v>encerrado</v>
      </c>
      <c r="W44" s="124" t="e">
        <f t="shared" si="0"/>
        <v>#REF!</v>
      </c>
      <c r="X44" s="138" t="str">
        <f t="shared" si="1"/>
        <v>verdadeiro</v>
      </c>
      <c r="Z44" s="42"/>
      <c r="AC44" s="124"/>
    </row>
    <row r="45" spans="1:29" ht="20.25" customHeight="1">
      <c r="A45" s="121" t="str">
        <f>'4o TRIMESTRE'!A45</f>
        <v>CONCORRÊNCIA Licitação: 16/2020</v>
      </c>
      <c r="B45" s="121" t="str">
        <f>'4o TRIMESTRE'!B45</f>
        <v>EXECUÇÃO DE SERVIÇOS DE REQUALIFICAÇÃO MANUTENÇÃO PREVENTIVA E CORRETIVA DE PRAÇAS, PARQUES E ÁREAS VERDES CANTEIROS DE AVENIDAS E REFÚGIOS DA CIDADE DO RECIFE RPAS 1,2 E 3</v>
      </c>
      <c r="C45" s="121" t="str">
        <f>'4o TRIMESTRE'!C45</f>
        <v>535346/2020</v>
      </c>
      <c r="D45" s="18">
        <f>'4o TRIMESTRE'!D45</f>
        <v>0</v>
      </c>
      <c r="E45" s="18">
        <f>'4o TRIMESTRE'!E45</f>
        <v>15823300.23</v>
      </c>
      <c r="F45" s="18">
        <f>'4o TRIMESTRE'!F45</f>
        <v>0</v>
      </c>
      <c r="G45" s="121" t="str">
        <f>'4o TRIMESTRE'!G45</f>
        <v>05.625.079/0001-60</v>
      </c>
      <c r="H45" s="121" t="str">
        <f>'4o TRIMESTRE'!H45</f>
        <v xml:space="preserve">CONSTRUTORA MARDIFI LTDA - EPP </v>
      </c>
      <c r="I45" s="122" t="str">
        <f>'4o TRIMESTRE'!I45</f>
        <v>6-028/21</v>
      </c>
      <c r="J45" s="123">
        <f>'4o TRIMESTRE'!J45</f>
        <v>44391</v>
      </c>
      <c r="K45" s="122">
        <f>'4o TRIMESTRE'!K45</f>
        <v>790</v>
      </c>
      <c r="L45" s="18">
        <f>'4o TRIMESTRE'!L45</f>
        <v>5538433.2699999996</v>
      </c>
      <c r="M45" s="123">
        <f>'4o TRIMESTRE'!M45</f>
        <v>45272</v>
      </c>
      <c r="N45" s="122">
        <f>'4o TRIMESTRE'!N45</f>
        <v>91</v>
      </c>
      <c r="O45" s="18">
        <f>'4o TRIMESTRE'!O45</f>
        <v>1192520.31</v>
      </c>
      <c r="P45" s="18">
        <v>387124.78</v>
      </c>
      <c r="Q45" s="122" t="str">
        <f>'4o TRIMESTRE'!Q45</f>
        <v>3.3.90.39</v>
      </c>
      <c r="R45" s="18">
        <f>'4o TRIMESTRE'!R45</f>
        <v>2962142.42</v>
      </c>
      <c r="S45" s="18">
        <f>'4o TRIMESTRE'!S45</f>
        <v>1745379.23</v>
      </c>
      <c r="T45" s="18">
        <f>'4o TRIMESTRE'!T45</f>
        <v>2635130.94</v>
      </c>
      <c r="U45" s="18" t="e">
        <f>'4o TRIMESTRE'!U45</f>
        <v>#REF!</v>
      </c>
      <c r="V45" s="139" t="str">
        <f>'4o TRIMESTRE'!V45</f>
        <v>encerrado</v>
      </c>
      <c r="W45" s="124" t="e">
        <f t="shared" si="0"/>
        <v>#REF!</v>
      </c>
      <c r="X45" s="138" t="str">
        <f t="shared" si="1"/>
        <v>verdadeiro</v>
      </c>
      <c r="Z45" s="42"/>
      <c r="AC45" s="124"/>
    </row>
    <row r="46" spans="1:29" ht="20.25" customHeight="1">
      <c r="A46" s="121" t="str">
        <f>'4o TRIMESTRE'!A46</f>
        <v>CONCORRÊNCIA Licitação: 2/2020</v>
      </c>
      <c r="B46" s="121" t="str">
        <f>'4o TRIMESTRE'!B46</f>
        <v>CONTRATAÇÃO DOS SERVIÇOS DE MANUTENÇÃO CORRETIVA DO SISTEMA VIÁRIO DO RECIFE RPA 01</v>
      </c>
      <c r="C46" s="121">
        <f>'4o TRIMESTRE'!C46</f>
        <v>0</v>
      </c>
      <c r="D46" s="18">
        <f>'4o TRIMESTRE'!D46</f>
        <v>0</v>
      </c>
      <c r="E46" s="18">
        <f>'4o TRIMESTRE'!E46</f>
        <v>0</v>
      </c>
      <c r="F46" s="18">
        <f>'4o TRIMESTRE'!F46</f>
        <v>0</v>
      </c>
      <c r="G46" s="121" t="str">
        <f>'4o TRIMESTRE'!G46</f>
        <v>23.742.620/0001-00</v>
      </c>
      <c r="H46" s="121" t="str">
        <f>'4o TRIMESTRE'!H46</f>
        <v>INSTTALE ENGENHARIA LTDA</v>
      </c>
      <c r="I46" s="122" t="str">
        <f>'4o TRIMESTRE'!I46</f>
        <v>6-029/20</v>
      </c>
      <c r="J46" s="123">
        <f>'4o TRIMESTRE'!J46</f>
        <v>44105</v>
      </c>
      <c r="K46" s="122">
        <f>'4o TRIMESTRE'!K46</f>
        <v>760</v>
      </c>
      <c r="L46" s="18">
        <f>'4o TRIMESTRE'!L46</f>
        <v>6329253.0300000003</v>
      </c>
      <c r="M46" s="123">
        <f>'4o TRIMESTRE'!M46</f>
        <v>44865</v>
      </c>
      <c r="N46" s="122">
        <f>'4o TRIMESTRE'!N46</f>
        <v>0</v>
      </c>
      <c r="O46" s="18">
        <f>'4o TRIMESTRE'!O46</f>
        <v>0</v>
      </c>
      <c r="P46" s="18">
        <v>69685073.5</v>
      </c>
      <c r="Q46" s="122" t="str">
        <f>'4o TRIMESTRE'!Q46</f>
        <v>3.3.90.39</v>
      </c>
      <c r="R46" s="18">
        <f>'4o TRIMESTRE'!R46</f>
        <v>20322168.439999998</v>
      </c>
      <c r="S46" s="18">
        <f>'4o TRIMESTRE'!S46</f>
        <v>4428893.25</v>
      </c>
      <c r="T46" s="18">
        <f>'4o TRIMESTRE'!T46</f>
        <v>9060379.1799999997</v>
      </c>
      <c r="U46" s="18" t="e">
        <f>'4o TRIMESTRE'!U46</f>
        <v>#REF!</v>
      </c>
      <c r="V46" s="139" t="str">
        <f>'4o TRIMESTRE'!V46</f>
        <v>encerrado</v>
      </c>
      <c r="W46" s="124" t="e">
        <f t="shared" si="0"/>
        <v>#REF!</v>
      </c>
      <c r="X46" s="138" t="str">
        <f t="shared" si="1"/>
        <v>verdadeiro</v>
      </c>
      <c r="Z46" s="42"/>
      <c r="AC46" s="124"/>
    </row>
    <row r="47" spans="1:29" ht="20.25" customHeight="1">
      <c r="A47" s="121" t="str">
        <f>'4o TRIMESTRE'!A47</f>
        <v>CONCORRÊNCIA Licitação: 16/2020</v>
      </c>
      <c r="B47" s="121" t="str">
        <f>'4o TRIMESTRE'!B47</f>
        <v>EXECUÇÃO DE SERVIÇOS DE REQUALIFICAÇÃO MANUTENÇÃO PREVENTIVA E CORRETIVA DE PRAÇAS, PARQUES E ÁREAS VERDES CANTEIROS DE AVENIDAS E REFÚGIOS DA CIDADE DO RECIFE RPAS 4,5 E 6</v>
      </c>
      <c r="C47" s="121">
        <f>'4o TRIMESTRE'!C47</f>
        <v>0</v>
      </c>
      <c r="D47" s="18">
        <f>'4o TRIMESTRE'!D47</f>
        <v>0</v>
      </c>
      <c r="E47" s="18">
        <f>'4o TRIMESTRE'!E47</f>
        <v>0</v>
      </c>
      <c r="F47" s="18">
        <f>'4o TRIMESTRE'!F47</f>
        <v>0</v>
      </c>
      <c r="G47" s="121" t="str">
        <f>'4o TRIMESTRE'!G47</f>
        <v>10.698.641/0001-15</v>
      </c>
      <c r="H47" s="121" t="str">
        <f>'4o TRIMESTRE'!H47</f>
        <v>CONSTRUTORA MASTER EIRELI ME</v>
      </c>
      <c r="I47" s="122" t="str">
        <f>'4o TRIMESTRE'!I47</f>
        <v>6-029/21</v>
      </c>
      <c r="J47" s="123">
        <f>'4o TRIMESTRE'!J47</f>
        <v>44391</v>
      </c>
      <c r="K47" s="122">
        <f>'4o TRIMESTRE'!K47</f>
        <v>790</v>
      </c>
      <c r="L47" s="18">
        <f>'4o TRIMESTRE'!L47</f>
        <v>6400029.5199999996</v>
      </c>
      <c r="M47" s="123">
        <f>'4o TRIMESTRE'!M47</f>
        <v>45181</v>
      </c>
      <c r="N47" s="122">
        <f>'4o TRIMESTRE'!N47</f>
        <v>0</v>
      </c>
      <c r="O47" s="18">
        <f>'4o TRIMESTRE'!O47</f>
        <v>1321148.75</v>
      </c>
      <c r="P47" s="18">
        <v>1440957.39</v>
      </c>
      <c r="Q47" s="122" t="str">
        <f>'4o TRIMESTRE'!Q47</f>
        <v>3.3.90.39</v>
      </c>
      <c r="R47" s="18">
        <f>'4o TRIMESTRE'!R47</f>
        <v>5095990.4600000009</v>
      </c>
      <c r="S47" s="18">
        <f>'4o TRIMESTRE'!S47</f>
        <v>1924844.6400000001</v>
      </c>
      <c r="T47" s="18">
        <f>'4o TRIMESTRE'!T47</f>
        <v>4340354.18</v>
      </c>
      <c r="U47" s="18" t="e">
        <f>'4o TRIMESTRE'!U47</f>
        <v>#REF!</v>
      </c>
      <c r="V47" s="139" t="str">
        <f>'4o TRIMESTRE'!V47</f>
        <v>andamento</v>
      </c>
      <c r="W47" s="124" t="e">
        <f t="shared" si="0"/>
        <v>#REF!</v>
      </c>
      <c r="X47" s="138" t="str">
        <f t="shared" si="1"/>
        <v>verdadeiro</v>
      </c>
      <c r="Z47" s="42"/>
      <c r="AC47" s="124"/>
    </row>
    <row r="48" spans="1:29" ht="20.25" customHeight="1">
      <c r="A48" s="121" t="str">
        <f>'4o TRIMESTRE'!A48</f>
        <v>CONCORRÊNCIA Licitação: 2/2020</v>
      </c>
      <c r="B48" s="121" t="str">
        <f>'4o TRIMESTRE'!B48</f>
        <v>CONTRATAÇÃO DOS SERVIÇOS DE MANUTENÇÃO CORRETIVA DO SISTEMA VIÁRIO DO RECIFE RPA 02 E 03</v>
      </c>
      <c r="C48" s="121">
        <f>'4o TRIMESTRE'!C48</f>
        <v>0</v>
      </c>
      <c r="D48" s="18">
        <f>'4o TRIMESTRE'!D48</f>
        <v>0</v>
      </c>
      <c r="E48" s="18">
        <f>'4o TRIMESTRE'!E48</f>
        <v>0</v>
      </c>
      <c r="F48" s="18">
        <f>'4o TRIMESTRE'!F48</f>
        <v>0</v>
      </c>
      <c r="G48" s="121" t="str">
        <f>'4o TRIMESTRE'!G48</f>
        <v>00.999.591/0001-52</v>
      </c>
      <c r="H48" s="121" t="str">
        <f>'4o TRIMESTRE'!H48</f>
        <v xml:space="preserve">AGC CONSTRUTORA E EMPREENDIMENTOS LTDA                      </v>
      </c>
      <c r="I48" s="122" t="str">
        <f>'4o TRIMESTRE'!I48</f>
        <v>6-030/20</v>
      </c>
      <c r="J48" s="123">
        <f>'4o TRIMESTRE'!J48</f>
        <v>44130</v>
      </c>
      <c r="K48" s="122">
        <f>'4o TRIMESTRE'!K48</f>
        <v>760</v>
      </c>
      <c r="L48" s="18">
        <f>'4o TRIMESTRE'!L48</f>
        <v>9905518.1799999997</v>
      </c>
      <c r="M48" s="123">
        <f>'4o TRIMESTRE'!M48</f>
        <v>44890</v>
      </c>
      <c r="N48" s="122">
        <f>'4o TRIMESTRE'!N48</f>
        <v>0</v>
      </c>
      <c r="O48" s="18">
        <f>'4o TRIMESTRE'!O48</f>
        <v>100704.67</v>
      </c>
      <c r="P48" s="18">
        <v>-56748.69</v>
      </c>
      <c r="Q48" s="122" t="str">
        <f>'4o TRIMESTRE'!Q48</f>
        <v>3.3.90.39</v>
      </c>
      <c r="R48" s="18">
        <f>'4o TRIMESTRE'!R48</f>
        <v>5811516.5199999996</v>
      </c>
      <c r="S48" s="18">
        <f>'4o TRIMESTRE'!S48</f>
        <v>0</v>
      </c>
      <c r="T48" s="18">
        <f>'4o TRIMESTRE'!T48</f>
        <v>543187.5</v>
      </c>
      <c r="U48" s="18" t="e">
        <f>'4o TRIMESTRE'!U48</f>
        <v>#REF!</v>
      </c>
      <c r="V48" s="139" t="str">
        <f>'4o TRIMESTRE'!V48</f>
        <v>encerrado</v>
      </c>
      <c r="W48" s="124" t="e">
        <f t="shared" si="0"/>
        <v>#REF!</v>
      </c>
      <c r="X48" s="138" t="str">
        <f t="shared" si="1"/>
        <v>verdadeiro</v>
      </c>
      <c r="Z48" s="42"/>
      <c r="AC48" s="124"/>
    </row>
    <row r="49" spans="1:29" ht="20.25" customHeight="1">
      <c r="A49" s="121" t="str">
        <f>'4o TRIMESTRE'!A49</f>
        <v>CONCORRÊNCIA Licitação: 2/2020</v>
      </c>
      <c r="B49" s="121" t="str">
        <f>'4o TRIMESTRE'!B49</f>
        <v>CONTRATAÇÃO DOS SERVIÇOS DE MANUTENÇÃO CORRETIVA DO SISTEMA VIÁRIO DO RECIFE RPA 04 E 05</v>
      </c>
      <c r="C49" s="121">
        <f>'4o TRIMESTRE'!C49</f>
        <v>0</v>
      </c>
      <c r="D49" s="18">
        <f>'4o TRIMESTRE'!D49</f>
        <v>0</v>
      </c>
      <c r="E49" s="18">
        <f>'4o TRIMESTRE'!E49</f>
        <v>0</v>
      </c>
      <c r="F49" s="18">
        <f>'4o TRIMESTRE'!F49</f>
        <v>0</v>
      </c>
      <c r="G49" s="121" t="str">
        <f>'4o TRIMESTRE'!G49</f>
        <v>23.742.620/0001-00</v>
      </c>
      <c r="H49" s="121" t="str">
        <f>'4o TRIMESTRE'!H49</f>
        <v>INSTTALE ENGENHARIA LTDA</v>
      </c>
      <c r="I49" s="122" t="str">
        <f>'4o TRIMESTRE'!I49</f>
        <v>6-031/20</v>
      </c>
      <c r="J49" s="123">
        <f>'4o TRIMESTRE'!J49</f>
        <v>44130</v>
      </c>
      <c r="K49" s="122">
        <f>'4o TRIMESTRE'!K49</f>
        <v>760</v>
      </c>
      <c r="L49" s="18">
        <f>'4o TRIMESTRE'!L49</f>
        <v>12232966.380000001</v>
      </c>
      <c r="M49" s="123">
        <f>'4o TRIMESTRE'!M49</f>
        <v>45255</v>
      </c>
      <c r="N49" s="122">
        <f>'4o TRIMESTRE'!N49</f>
        <v>365</v>
      </c>
      <c r="O49" s="18">
        <f>'4o TRIMESTRE'!O49</f>
        <v>15079505.24</v>
      </c>
      <c r="P49" s="18">
        <v>2473711.6800000002</v>
      </c>
      <c r="Q49" s="122" t="str">
        <f>'4o TRIMESTRE'!Q49</f>
        <v>3.3.90.39</v>
      </c>
      <c r="R49" s="18">
        <f>'4o TRIMESTRE'!R49</f>
        <v>14102582.219999999</v>
      </c>
      <c r="S49" s="18">
        <f>'4o TRIMESTRE'!S49</f>
        <v>3753102.95</v>
      </c>
      <c r="T49" s="18">
        <f>'4o TRIMESTRE'!T49</f>
        <v>6724004.21</v>
      </c>
      <c r="U49" s="18" t="e">
        <f>'4o TRIMESTRE'!U49</f>
        <v>#REF!</v>
      </c>
      <c r="V49" s="139" t="str">
        <f>'4o TRIMESTRE'!V49</f>
        <v>andamento</v>
      </c>
      <c r="W49" s="124" t="e">
        <f t="shared" si="0"/>
        <v>#REF!</v>
      </c>
      <c r="X49" s="138" t="str">
        <f t="shared" si="1"/>
        <v>verdadeiro</v>
      </c>
      <c r="Z49" s="42"/>
      <c r="AB49" s="45"/>
      <c r="AC49" s="124"/>
    </row>
    <row r="50" spans="1:29" ht="20.25" customHeight="1">
      <c r="A50" s="121" t="str">
        <f>'4o TRIMESTRE'!A50</f>
        <v>CONCORRÊNCIA Licitação: 2/2020</v>
      </c>
      <c r="B50" s="121" t="str">
        <f>'4o TRIMESTRE'!B50</f>
        <v>CONTRATAÇÃO DOS SERVIÇOS DE MANUTENÇÃO CORRETIVA DO SISTEMA VIÁRIO DO RECIFE RPA 06</v>
      </c>
      <c r="C50" s="121">
        <f>'4o TRIMESTRE'!C50</f>
        <v>0</v>
      </c>
      <c r="D50" s="18">
        <f>'4o TRIMESTRE'!D50</f>
        <v>0</v>
      </c>
      <c r="E50" s="18">
        <f>'4o TRIMESTRE'!E50</f>
        <v>0</v>
      </c>
      <c r="F50" s="18">
        <f>'4o TRIMESTRE'!F50</f>
        <v>0</v>
      </c>
      <c r="G50" s="121" t="str">
        <f>'4o TRIMESTRE'!G50</f>
        <v>40.882.060/0001-08</v>
      </c>
      <c r="H50" s="121" t="str">
        <f>'4o TRIMESTRE'!H50</f>
        <v>LIDERMAC CONSTRUCOES E EQUIPAMENTOS LTDA</v>
      </c>
      <c r="I50" s="122" t="str">
        <f>'4o TRIMESTRE'!I50</f>
        <v>6-032/20</v>
      </c>
      <c r="J50" s="123">
        <f>'4o TRIMESTRE'!J50</f>
        <v>44130</v>
      </c>
      <c r="K50" s="122">
        <f>'4o TRIMESTRE'!K50</f>
        <v>760</v>
      </c>
      <c r="L50" s="18">
        <f>'4o TRIMESTRE'!L50</f>
        <v>10773413.109999999</v>
      </c>
      <c r="M50" s="123">
        <f>'4o TRIMESTRE'!M50</f>
        <v>44890</v>
      </c>
      <c r="N50" s="122">
        <f>'4o TRIMESTRE'!N50</f>
        <v>0</v>
      </c>
      <c r="O50" s="18">
        <f>'4o TRIMESTRE'!O50</f>
        <v>0</v>
      </c>
      <c r="P50" s="18">
        <v>0</v>
      </c>
      <c r="Q50" s="122" t="str">
        <f>'4o TRIMESTRE'!Q50</f>
        <v>3.3.90.39</v>
      </c>
      <c r="R50" s="18">
        <f>'4o TRIMESTRE'!R50</f>
        <v>5198530.38</v>
      </c>
      <c r="S50" s="18">
        <f>'4o TRIMESTRE'!S50</f>
        <v>412119.17</v>
      </c>
      <c r="T50" s="18">
        <f>'4o TRIMESTRE'!T50</f>
        <v>691043.41999999993</v>
      </c>
      <c r="U50" s="18" t="e">
        <f>'4o TRIMESTRE'!U50</f>
        <v>#REF!</v>
      </c>
      <c r="V50" s="139" t="str">
        <f>'4o TRIMESTRE'!V50</f>
        <v>andamento</v>
      </c>
      <c r="W50" s="124" t="e">
        <f t="shared" si="0"/>
        <v>#REF!</v>
      </c>
      <c r="X50" s="138" t="str">
        <f t="shared" si="1"/>
        <v>verdadeiro</v>
      </c>
      <c r="Z50" s="42"/>
      <c r="AC50" s="124"/>
    </row>
    <row r="51" spans="1:29" ht="20.25" customHeight="1">
      <c r="A51" s="121" t="str">
        <f>'4o TRIMESTRE'!A51</f>
        <v>Tomada de Preço Licitação: 003/2021</v>
      </c>
      <c r="B51" s="121" t="str">
        <f>'4o TRIMESTRE'!B51</f>
        <v>CONTRATAÇÃO DE EMPRESA DE DE ENGENHARIA ESPECIALIZADA EM ILUMINAÇÃO PUBLICA. PARA INSTALAÇÃO DE LUMINÁRIAS/PROJETORES COM TECNOLOGIA LED NA CIDADE DO RECIFE/PE COM FORNECIMENTO DE ACESSÓRIOS</v>
      </c>
      <c r="C51" s="121">
        <f>'4o TRIMESTRE'!C51</f>
        <v>0</v>
      </c>
      <c r="D51" s="18" t="str">
        <f>'4o TRIMESTRE'!D51</f>
        <v>FINISA</v>
      </c>
      <c r="E51" s="18">
        <f>'4o TRIMESTRE'!E51</f>
        <v>50000000</v>
      </c>
      <c r="F51" s="18">
        <f>'4o TRIMESTRE'!F51</f>
        <v>0</v>
      </c>
      <c r="G51" s="121" t="str">
        <f>'4o TRIMESTRE'!G51</f>
        <v>01.346.561/0001-00</v>
      </c>
      <c r="H51" s="121" t="str">
        <f>'4o TRIMESTRE'!H51</f>
        <v>VASCONCELOS E SANTOS LTDA</v>
      </c>
      <c r="I51" s="122" t="str">
        <f>'4o TRIMESTRE'!I51</f>
        <v>6-037/21</v>
      </c>
      <c r="J51" s="123">
        <f>'4o TRIMESTRE'!J51</f>
        <v>44495</v>
      </c>
      <c r="K51" s="122">
        <f>'4o TRIMESTRE'!K51</f>
        <v>395</v>
      </c>
      <c r="L51" s="18">
        <f>'4o TRIMESTRE'!L51</f>
        <v>1048809.3999999999</v>
      </c>
      <c r="M51" s="123">
        <f>'4o TRIMESTRE'!M51+365</f>
        <v>45255</v>
      </c>
      <c r="N51" s="122">
        <f>'4o TRIMESTRE'!N51+365</f>
        <v>365</v>
      </c>
      <c r="O51" s="18">
        <v>23484577.199999999</v>
      </c>
      <c r="P51" s="18">
        <v>559078.56000000006</v>
      </c>
      <c r="Q51" s="122" t="str">
        <f>'4o TRIMESTRE'!Q51</f>
        <v>4.4.90.39</v>
      </c>
      <c r="R51" s="18">
        <f>'4o TRIMESTRE'!R51</f>
        <v>2660756.2599999998</v>
      </c>
      <c r="S51" s="18">
        <f>'4o TRIMESTRE'!S51</f>
        <v>1090822.8599999999</v>
      </c>
      <c r="T51" s="18">
        <f>'4o TRIMESTRE'!T51</f>
        <v>2458209.5</v>
      </c>
      <c r="U51" s="18" t="e">
        <f>'4o TRIMESTRE'!U51</f>
        <v>#REF!</v>
      </c>
      <c r="V51" s="139" t="str">
        <f>'4o TRIMESTRE'!V51</f>
        <v>andamento</v>
      </c>
      <c r="W51" s="124" t="e">
        <f t="shared" si="0"/>
        <v>#REF!</v>
      </c>
      <c r="X51" s="138" t="str">
        <f t="shared" si="1"/>
        <v>verdadeiro</v>
      </c>
      <c r="Z51" s="42"/>
      <c r="AC51" s="124"/>
    </row>
    <row r="52" spans="1:29" ht="20.25" customHeight="1">
      <c r="A52" s="121" t="str">
        <f>'4o TRIMESTRE'!A52</f>
        <v>Tomada de Preço Licitação: 004/2021</v>
      </c>
      <c r="B52" s="121" t="str">
        <f>'4o TRIMESTRE'!B52</f>
        <v>CONTRATACAO DE EMPRESA DE ENGENHARIA PARA PRESTACAO DOS SERVICOS DE MANUTENCAO DO ENROCAMENTO DE PEDRAS DA PROTECAO EXISTENTE NA ORLA DE BOA VIAGEM</v>
      </c>
      <c r="C52" s="121">
        <f>'4o TRIMESTRE'!C52</f>
        <v>0</v>
      </c>
      <c r="D52" s="18">
        <f>'4o TRIMESTRE'!D52</f>
        <v>0</v>
      </c>
      <c r="E52" s="18">
        <f>'4o TRIMESTRE'!E52</f>
        <v>0</v>
      </c>
      <c r="F52" s="18">
        <f>'4o TRIMESTRE'!F52</f>
        <v>0</v>
      </c>
      <c r="G52" s="121" t="str">
        <f>'4o TRIMESTRE'!G52</f>
        <v>70.086.111/0001-48</v>
      </c>
      <c r="H52" s="121" t="str">
        <f>'4o TRIMESTRE'!H52</f>
        <v>COASTAL - CONSTRUÇÕES E SOLUÇÕES TÉCNICAS AMBIENTAIS EIRELI</v>
      </c>
      <c r="I52" s="122" t="str">
        <f>'4o TRIMESTRE'!I52</f>
        <v>6-039/21</v>
      </c>
      <c r="J52" s="123">
        <f>'4o TRIMESTRE'!J52</f>
        <v>44455</v>
      </c>
      <c r="K52" s="122">
        <f>'4o TRIMESTRE'!K52</f>
        <v>455</v>
      </c>
      <c r="L52" s="18">
        <f>'4o TRIMESTRE'!L52</f>
        <v>1460562.75</v>
      </c>
      <c r="M52" s="123">
        <f>'4o TRIMESTRE'!M52</f>
        <v>44910</v>
      </c>
      <c r="N52" s="122">
        <f>'4o TRIMESTRE'!N52</f>
        <v>0</v>
      </c>
      <c r="O52" s="18">
        <f>'4o TRIMESTRE'!O52</f>
        <v>225202.39</v>
      </c>
      <c r="P52" s="18">
        <v>-57651.95</v>
      </c>
      <c r="Q52" s="122" t="str">
        <f>'4o TRIMESTRE'!Q52</f>
        <v>3.3.90.39</v>
      </c>
      <c r="R52" s="18">
        <f>'4o TRIMESTRE'!R52</f>
        <v>609894.82000000007</v>
      </c>
      <c r="S52" s="18">
        <f>'4o TRIMESTRE'!S52</f>
        <v>0</v>
      </c>
      <c r="T52" s="18">
        <f>'4o TRIMESTRE'!T52</f>
        <v>259258.04</v>
      </c>
      <c r="U52" s="18" t="e">
        <f>'4o TRIMESTRE'!U52</f>
        <v>#REF!</v>
      </c>
      <c r="V52" s="139" t="str">
        <f>'4o TRIMESTRE'!V52</f>
        <v>encerrado</v>
      </c>
      <c r="W52" s="124" t="e">
        <f t="shared" si="0"/>
        <v>#REF!</v>
      </c>
      <c r="X52" s="138" t="str">
        <f t="shared" si="1"/>
        <v>verdadeiro</v>
      </c>
      <c r="Z52" s="42"/>
      <c r="AC52" s="124"/>
    </row>
    <row r="53" spans="1:29" ht="20.25" customHeight="1">
      <c r="A53" s="121" t="str">
        <f>'4o TRIMESTRE'!A53</f>
        <v>Concorrência Licitação: 009/2021</v>
      </c>
      <c r="B53" s="121" t="str">
        <f>'4o TRIMESTRE'!B53</f>
        <v>EXECUÇÃO DE SERVIÇOS DE RECUPERAÇÃO DE PASSARELAS, PONTILHÕES E ELEMENTOS LIMITADORES DE ESPAÇO OU PROTEÇÃO NAS DIVERSAS RPAS DA CIDADE DO RECIFE</v>
      </c>
      <c r="C53" s="121" t="str">
        <f>'4o TRIMESTRE'!C53</f>
        <v>535346/2020</v>
      </c>
      <c r="D53" s="18">
        <f>'4o TRIMESTRE'!D53</f>
        <v>0</v>
      </c>
      <c r="E53" s="18">
        <f>'4o TRIMESTRE'!E53</f>
        <v>15823300.23</v>
      </c>
      <c r="F53" s="18">
        <f>'4o TRIMESTRE'!F53</f>
        <v>0</v>
      </c>
      <c r="G53" s="121" t="str">
        <f>'4o TRIMESTRE'!G53</f>
        <v>10.811.370/0001-62</v>
      </c>
      <c r="H53" s="121" t="str">
        <f>'4o TRIMESTRE'!H53</f>
        <v>GUERRA CONSTRUCOES LTDA</v>
      </c>
      <c r="I53" s="122" t="str">
        <f>'4o TRIMESTRE'!I53</f>
        <v>6-042/21</v>
      </c>
      <c r="J53" s="123">
        <f>'4o TRIMESTRE'!J53</f>
        <v>44516</v>
      </c>
      <c r="K53" s="122">
        <f>'4o TRIMESTRE'!K53</f>
        <v>790</v>
      </c>
      <c r="L53" s="18">
        <f>'4o TRIMESTRE'!L53</f>
        <v>4874717.78</v>
      </c>
      <c r="M53" s="123">
        <f>'4o TRIMESTRE'!M53</f>
        <v>45306</v>
      </c>
      <c r="N53" s="122">
        <f>'4o TRIMESTRE'!N53</f>
        <v>0</v>
      </c>
      <c r="O53" s="18">
        <f>'4o TRIMESTRE'!O53</f>
        <v>0</v>
      </c>
      <c r="P53" s="18">
        <v>0</v>
      </c>
      <c r="Q53" s="122" t="str">
        <f>'4o TRIMESTRE'!Q53</f>
        <v>3.3.90.39</v>
      </c>
      <c r="R53" s="18">
        <f>'4o TRIMESTRE'!R53</f>
        <v>2103769.5699999998</v>
      </c>
      <c r="S53" s="18">
        <f>'4o TRIMESTRE'!S53</f>
        <v>0</v>
      </c>
      <c r="T53" s="18">
        <f>'4o TRIMESTRE'!T53</f>
        <v>955134.58</v>
      </c>
      <c r="U53" s="18" t="e">
        <f>'4o TRIMESTRE'!U53</f>
        <v>#REF!</v>
      </c>
      <c r="V53" s="139" t="str">
        <f>'4o TRIMESTRE'!V53</f>
        <v>andamento</v>
      </c>
      <c r="W53" s="124" t="e">
        <f t="shared" si="0"/>
        <v>#REF!</v>
      </c>
      <c r="X53" s="138" t="str">
        <f t="shared" si="1"/>
        <v>verdadeiro</v>
      </c>
      <c r="Z53" s="42"/>
      <c r="AC53" s="124"/>
    </row>
    <row r="54" spans="1:29" ht="20.25" customHeight="1">
      <c r="A54" s="121" t="str">
        <f>'4o TRIMESTRE'!A54</f>
        <v>TOMADA DE PREÇOS / 005/2020</v>
      </c>
      <c r="B54" s="121" t="str">
        <f>'4o TRIMESTRE'!B54</f>
        <v>CONTRATACAO DE DE EMPRESA DE ENGENHARIA PARA EXECUCAO DE SERVICOS DE MANUTENCAO DE FONTES. COM BOMBAS CENTRIFUGAS DE 5 A 25 CV. ILUMINACAO ESPECIAL E OPERACAO AUTOMATIZADA POR QUADRO DE COMANDO INTERRUPTO HORARIO</v>
      </c>
      <c r="C54" s="121">
        <f>'4o TRIMESTRE'!C54</f>
        <v>0</v>
      </c>
      <c r="D54" s="18">
        <f>'4o TRIMESTRE'!D54</f>
        <v>0</v>
      </c>
      <c r="E54" s="18">
        <f>'4o TRIMESTRE'!E54</f>
        <v>0</v>
      </c>
      <c r="F54" s="18">
        <f>'4o TRIMESTRE'!F54</f>
        <v>0</v>
      </c>
      <c r="G54" s="121" t="str">
        <f>'4o TRIMESTRE'!G54</f>
        <v>06.157.352/0001-31</v>
      </c>
      <c r="H54" s="121" t="str">
        <f>'4o TRIMESTRE'!H54</f>
        <v>ROBERTO &amp; JAIR COMÉRCIO E SERVIÇOS LTDA-ME</v>
      </c>
      <c r="I54" s="122" t="str">
        <f>'4o TRIMESTRE'!I54</f>
        <v>6-043/20</v>
      </c>
      <c r="J54" s="123">
        <f>'4o TRIMESTRE'!J54</f>
        <v>44138</v>
      </c>
      <c r="K54" s="122">
        <f>'4o TRIMESTRE'!K54</f>
        <v>760</v>
      </c>
      <c r="L54" s="18">
        <f>'4o TRIMESTRE'!L54</f>
        <v>536156.1</v>
      </c>
      <c r="M54" s="123">
        <f>'4o TRIMESTRE'!M54</f>
        <v>44898</v>
      </c>
      <c r="N54" s="122">
        <f>'4o TRIMESTRE'!N54</f>
        <v>0</v>
      </c>
      <c r="O54" s="18">
        <f>'4o TRIMESTRE'!O54</f>
        <v>82719.179999999993</v>
      </c>
      <c r="P54" s="18">
        <v>-38325.019999999997</v>
      </c>
      <c r="Q54" s="122" t="str">
        <f>'4o TRIMESTRE'!Q54</f>
        <v>3.3.90.39</v>
      </c>
      <c r="R54" s="18">
        <f>'4o TRIMESTRE'!R54</f>
        <v>415293.33</v>
      </c>
      <c r="S54" s="18">
        <f>'4o TRIMESTRE'!S54</f>
        <v>0</v>
      </c>
      <c r="T54" s="18">
        <f>'4o TRIMESTRE'!T54</f>
        <v>49382.99</v>
      </c>
      <c r="U54" s="18" t="e">
        <f>'4o TRIMESTRE'!U54</f>
        <v>#REF!</v>
      </c>
      <c r="V54" s="139" t="str">
        <f>'4o TRIMESTRE'!V54</f>
        <v>encerrado</v>
      </c>
      <c r="W54" s="124" t="e">
        <f t="shared" si="0"/>
        <v>#REF!</v>
      </c>
      <c r="X54" s="138" t="str">
        <f t="shared" si="1"/>
        <v>verdadeiro</v>
      </c>
      <c r="Z54" s="42"/>
      <c r="AC54" s="124"/>
    </row>
    <row r="55" spans="1:29" ht="20.25" customHeight="1">
      <c r="A55" s="121" t="str">
        <f>'4o TRIMESTRE'!A55</f>
        <v>CONCORRÊNCIA / nº 006/2020</v>
      </c>
      <c r="B55" s="121" t="str">
        <f>'4o TRIMESTRE'!B55</f>
        <v>CONTRATAÇÃO DE EMPRESA DE ENGENHARIA ESPECIALIZADA EM ILUMINAÇÃO PÚBLICA, PARA EXECUÇÃO DOS SERVIÇOS DE MANUTENÇÃO CONTÍNUA, CORRETIVA E PREVENTIVA, DO SISTEMA DE ILUMINAÇÃO PÚBLICA ESPECIAL DA CIDADE DO RECIFE, EM POSTES ACIMA DE 12 METROS DE ALTURA</v>
      </c>
      <c r="C55" s="121" t="str">
        <f>'4o TRIMESTRE'!C55</f>
        <v>535346/2020</v>
      </c>
      <c r="D55" s="18">
        <f>'4o TRIMESTRE'!D55</f>
        <v>0</v>
      </c>
      <c r="E55" s="18">
        <f>'4o TRIMESTRE'!E55</f>
        <v>15823300.23</v>
      </c>
      <c r="F55" s="18">
        <f>'4o TRIMESTRE'!F55</f>
        <v>0</v>
      </c>
      <c r="G55" s="121" t="str">
        <f>'4o TRIMESTRE'!G55</f>
        <v>01.346.561/0001-00</v>
      </c>
      <c r="H55" s="121" t="str">
        <f>'4o TRIMESTRE'!H55</f>
        <v>VASCONCELOS E SANTOS LTDA</v>
      </c>
      <c r="I55" s="122" t="str">
        <f>'4o TRIMESTRE'!I55</f>
        <v>6-044/20</v>
      </c>
      <c r="J55" s="123">
        <f>'4o TRIMESTRE'!J55</f>
        <v>44162</v>
      </c>
      <c r="K55" s="122">
        <f>'4o TRIMESTRE'!K55</f>
        <v>790</v>
      </c>
      <c r="L55" s="18">
        <f>'4o TRIMESTRE'!L55</f>
        <v>1704583.5</v>
      </c>
      <c r="M55" s="123">
        <f>'4o TRIMESTRE'!M55</f>
        <v>44952</v>
      </c>
      <c r="N55" s="122">
        <f>'4o TRIMESTRE'!N55</f>
        <v>0</v>
      </c>
      <c r="O55" s="18">
        <f>'4o TRIMESTRE'!O55</f>
        <v>0</v>
      </c>
      <c r="P55" s="18">
        <v>0</v>
      </c>
      <c r="Q55" s="122" t="str">
        <f>'4o TRIMESTRE'!Q55</f>
        <v>3.3.90.39</v>
      </c>
      <c r="R55" s="18">
        <f>'4o TRIMESTRE'!R55</f>
        <v>866191.14</v>
      </c>
      <c r="S55" s="18">
        <f>'4o TRIMESTRE'!S55</f>
        <v>0</v>
      </c>
      <c r="T55" s="18">
        <f>'4o TRIMESTRE'!T55</f>
        <v>168638.6</v>
      </c>
      <c r="U55" s="18" t="e">
        <f>'4o TRIMESTRE'!U55</f>
        <v>#REF!</v>
      </c>
      <c r="V55" s="139" t="str">
        <f>'4o TRIMESTRE'!V55</f>
        <v>andamento</v>
      </c>
      <c r="W55" s="124" t="e">
        <f t="shared" si="0"/>
        <v>#REF!</v>
      </c>
      <c r="X55" s="138" t="str">
        <f t="shared" si="1"/>
        <v>verdadeiro</v>
      </c>
      <c r="Z55" s="42"/>
      <c r="AC55" s="124"/>
    </row>
    <row r="56" spans="1:29" ht="20.25" customHeight="1">
      <c r="A56" s="121" t="str">
        <f>'4o TRIMESTRE'!A56</f>
        <v>DISP 004/2021</v>
      </c>
      <c r="B56" s="121" t="str">
        <f>'4o TRIMESTRE'!B56</f>
        <v>CONTRATACAO DE SERVICOS EM CARATER EMERGENCIAL DE COLETA E LIMPEZA URBANA - LOTE 2</v>
      </c>
      <c r="C56" s="121" t="str">
        <f>'4o TRIMESTRE'!C56</f>
        <v>535346/2020</v>
      </c>
      <c r="D56" s="18">
        <f>'4o TRIMESTRE'!D56</f>
        <v>0</v>
      </c>
      <c r="E56" s="18">
        <f>'4o TRIMESTRE'!E56</f>
        <v>15823300.23</v>
      </c>
      <c r="F56" s="18">
        <f>'4o TRIMESTRE'!F56</f>
        <v>0</v>
      </c>
      <c r="G56" s="121" t="str">
        <f>'4o TRIMESTRE'!G56</f>
        <v>02.536.066/0015-21</v>
      </c>
      <c r="H56" s="121" t="str">
        <f>'4o TRIMESTRE'!H56</f>
        <v>VITAL ENGENHARIA AMBIENTAL S/A</v>
      </c>
      <c r="I56" s="122" t="str">
        <f>'4o TRIMESTRE'!I56</f>
        <v>6-044/21</v>
      </c>
      <c r="J56" s="123">
        <f>'4o TRIMESTRE'!J56</f>
        <v>44469</v>
      </c>
      <c r="K56" s="122">
        <f>'4o TRIMESTRE'!K56</f>
        <v>180</v>
      </c>
      <c r="L56" s="18">
        <f>'4o TRIMESTRE'!L56</f>
        <v>76577831.530000001</v>
      </c>
      <c r="M56" s="123">
        <f>'4o TRIMESTRE'!M56</f>
        <v>44724</v>
      </c>
      <c r="N56" s="122">
        <f>'4o TRIMESTRE'!N56</f>
        <v>75</v>
      </c>
      <c r="O56" s="18">
        <f>'4o TRIMESTRE'!O56</f>
        <v>45293.3</v>
      </c>
      <c r="P56" s="18">
        <v>0</v>
      </c>
      <c r="Q56" s="122" t="str">
        <f>'4o TRIMESTRE'!Q56</f>
        <v>3.3.90.39</v>
      </c>
      <c r="R56" s="18">
        <f>'4o TRIMESTRE'!R56</f>
        <v>64818819.870000005</v>
      </c>
      <c r="S56" s="18">
        <f>'4o TRIMESTRE'!S56</f>
        <v>84805.27</v>
      </c>
      <c r="T56" s="18">
        <f>'4o TRIMESTRE'!T56</f>
        <v>38951519.099999994</v>
      </c>
      <c r="U56" s="18" t="e">
        <f>'4o TRIMESTRE'!U56</f>
        <v>#REF!</v>
      </c>
      <c r="V56" s="139" t="str">
        <f>'4o TRIMESTRE'!V56</f>
        <v>andamento</v>
      </c>
      <c r="W56" s="124" t="e">
        <f t="shared" si="0"/>
        <v>#REF!</v>
      </c>
      <c r="X56" s="138" t="str">
        <f t="shared" si="1"/>
        <v>verdadeiro</v>
      </c>
      <c r="Z56" s="42"/>
      <c r="AB56" s="25"/>
      <c r="AC56" s="124"/>
    </row>
    <row r="57" spans="1:29" ht="20.25" customHeight="1">
      <c r="A57" s="121" t="str">
        <f>'4o TRIMESTRE'!A57</f>
        <v>Pregão Eletrônico Licitação: 031/2021</v>
      </c>
      <c r="B57" s="121" t="str">
        <f>'4o TRIMESTRE'!B57</f>
        <v>CONTRATAÇÃO DE EMPRESA DE ENGENHARIA NA ÁREA DE GEOTÉCNIA PARA ENSAIO DE PENETRAÇÃO DE UM CONE ESTÁTICO DE AÇO COM MEDIDAS DE PRESSÕES NEUTRAS CPTU CONFORME PROCEDIMENTOS DA NORMA ASTM D 5778 95</v>
      </c>
      <c r="C57" s="121" t="str">
        <f>'4o TRIMESTRE'!C57</f>
        <v>495721/2018 e 535346/2020</v>
      </c>
      <c r="D57" s="18">
        <f>'4o TRIMESTRE'!D57</f>
        <v>0</v>
      </c>
      <c r="E57" s="18">
        <f>'4o TRIMESTRE'!E57</f>
        <v>0</v>
      </c>
      <c r="F57" s="18">
        <f>'4o TRIMESTRE'!F57</f>
        <v>0</v>
      </c>
      <c r="G57" s="121" t="str">
        <f>'4o TRIMESTRE'!G57</f>
        <v>18.968.880/0001-50</v>
      </c>
      <c r="H57" s="121" t="str">
        <f>'4o TRIMESTRE'!H57</f>
        <v>A1MC PROJETOS LTDA</v>
      </c>
      <c r="I57" s="122" t="str">
        <f>'4o TRIMESTRE'!I57</f>
        <v>6-045/21</v>
      </c>
      <c r="J57" s="123">
        <f>'4o TRIMESTRE'!J57</f>
        <v>44523</v>
      </c>
      <c r="K57" s="122">
        <f>'4o TRIMESTRE'!K57</f>
        <v>60</v>
      </c>
      <c r="L57" s="18">
        <f>'4o TRIMESTRE'!L57</f>
        <v>100000</v>
      </c>
      <c r="M57" s="123">
        <f>'4o TRIMESTRE'!M57</f>
        <v>44583</v>
      </c>
      <c r="N57" s="122">
        <f>'4o TRIMESTRE'!N57</f>
        <v>0</v>
      </c>
      <c r="O57" s="18">
        <f>'4o TRIMESTRE'!O57</f>
        <v>8966.94</v>
      </c>
      <c r="P57" s="18">
        <v>-59762.69</v>
      </c>
      <c r="Q57" s="122" t="str">
        <f>'4o TRIMESTRE'!Q57</f>
        <v>3.3.90.39</v>
      </c>
      <c r="R57" s="18">
        <f>'4o TRIMESTRE'!R57</f>
        <v>108966.93000000001</v>
      </c>
      <c r="S57" s="18">
        <f>'4o TRIMESTRE'!S57</f>
        <v>0</v>
      </c>
      <c r="T57" s="18">
        <f>'4o TRIMESTRE'!T57</f>
        <v>45018.95</v>
      </c>
      <c r="U57" s="18" t="e">
        <f>'4o TRIMESTRE'!U57</f>
        <v>#REF!</v>
      </c>
      <c r="V57" s="139" t="str">
        <f>'4o TRIMESTRE'!V57</f>
        <v>encerrado</v>
      </c>
      <c r="W57" s="124" t="e">
        <f t="shared" si="0"/>
        <v>#REF!</v>
      </c>
      <c r="X57" s="138" t="str">
        <f t="shared" si="1"/>
        <v>verdadeiro</v>
      </c>
      <c r="Z57" s="42"/>
      <c r="AC57" s="124"/>
    </row>
    <row r="58" spans="1:29" ht="20.25" customHeight="1">
      <c r="A58" s="121" t="str">
        <f>'4o TRIMESTRE'!A58</f>
        <v>CONCORRÊNCIA Licitação: 19/2019</v>
      </c>
      <c r="B58" s="121" t="str">
        <f>'4o TRIMESTRE'!B58</f>
        <v>SERVIÇOS DE MANUTENÇÃO DO SISTEMA DE MICRODRENAGEM DAS AGUAS PLUVIAIS DO MUNICIPIO DO RECIFE RPA 1</v>
      </c>
      <c r="C58" s="121" t="str">
        <f>'4o TRIMESTRE'!C58</f>
        <v>535346/2020</v>
      </c>
      <c r="D58" s="18">
        <f>'4o TRIMESTRE'!D58</f>
        <v>0</v>
      </c>
      <c r="E58" s="18">
        <f>'4o TRIMESTRE'!E58</f>
        <v>15823300.23</v>
      </c>
      <c r="F58" s="18">
        <f>'4o TRIMESTRE'!F58</f>
        <v>0</v>
      </c>
      <c r="G58" s="121" t="str">
        <f>'4o TRIMESTRE'!G58</f>
        <v>07.086.088/0001-55</v>
      </c>
      <c r="H58" s="121" t="str">
        <f>'4o TRIMESTRE'!H58</f>
        <v>SOLO CONSTRUCOES E TERRAPLANAGEM LTDA</v>
      </c>
      <c r="I58" s="122" t="str">
        <f>'4o TRIMESTRE'!I58</f>
        <v>6-048/20</v>
      </c>
      <c r="J58" s="123">
        <f>'4o TRIMESTRE'!J58</f>
        <v>44168</v>
      </c>
      <c r="K58" s="122">
        <f>'4o TRIMESTRE'!K58</f>
        <v>1125</v>
      </c>
      <c r="L58" s="18">
        <f>'4o TRIMESTRE'!L58</f>
        <v>16571981.609999999</v>
      </c>
      <c r="M58" s="123">
        <f>'4o TRIMESTRE'!M58</f>
        <v>45293</v>
      </c>
      <c r="N58" s="122">
        <f>'4o TRIMESTRE'!N58</f>
        <v>0</v>
      </c>
      <c r="O58" s="18">
        <f>'4o TRIMESTRE'!O58</f>
        <v>0</v>
      </c>
      <c r="P58" s="18">
        <v>0</v>
      </c>
      <c r="Q58" s="122" t="str">
        <f>'4o TRIMESTRE'!Q58</f>
        <v>3.3.90.39</v>
      </c>
      <c r="R58" s="18">
        <f>'4o TRIMESTRE'!R58</f>
        <v>6982369.6500000004</v>
      </c>
      <c r="S58" s="18">
        <f>'4o TRIMESTRE'!S58</f>
        <v>0</v>
      </c>
      <c r="T58" s="18">
        <f>'4o TRIMESTRE'!T58</f>
        <v>1462517.9</v>
      </c>
      <c r="U58" s="18" t="e">
        <f>'4o TRIMESTRE'!U58</f>
        <v>#REF!</v>
      </c>
      <c r="V58" s="139" t="str">
        <f>'4o TRIMESTRE'!V58</f>
        <v>andamento</v>
      </c>
      <c r="W58" s="124" t="e">
        <f t="shared" si="0"/>
        <v>#REF!</v>
      </c>
      <c r="X58" s="138" t="str">
        <f t="shared" si="1"/>
        <v>verdadeiro</v>
      </c>
      <c r="Z58" s="42"/>
      <c r="AC58" s="124"/>
    </row>
    <row r="59" spans="1:29" ht="20.25" customHeight="1">
      <c r="A59" s="121" t="str">
        <f>'4o TRIMESTRE'!A59</f>
        <v>DISP 003/2021</v>
      </c>
      <c r="B59" s="121" t="str">
        <f>'4o TRIMESTRE'!B59</f>
        <v>CONTRATACAO DE SERVICO. EM CARATER EMERGENCIAL. DE COLETA E LIMPEZA URBANA LOTE 1</v>
      </c>
      <c r="C59" s="121" t="str">
        <f>'4o TRIMESTRE'!C59</f>
        <v>495721/2018 e 535346/2020</v>
      </c>
      <c r="D59" s="18">
        <f>'4o TRIMESTRE'!D59</f>
        <v>0</v>
      </c>
      <c r="E59" s="18">
        <f>'4o TRIMESTRE'!E59</f>
        <v>0</v>
      </c>
      <c r="F59" s="18">
        <f>'4o TRIMESTRE'!F59</f>
        <v>0</v>
      </c>
      <c r="G59" s="121" t="str">
        <f>'4o TRIMESTRE'!G59</f>
        <v>12.854.865/0001-02</v>
      </c>
      <c r="H59" s="121" t="str">
        <f>'4o TRIMESTRE'!H59</f>
        <v>COELHO DE  ANDRADE ENGENHARIA LTDA</v>
      </c>
      <c r="I59" s="122" t="str">
        <f>'4o TRIMESTRE'!I59</f>
        <v>6-048/21</v>
      </c>
      <c r="J59" s="123">
        <f>'4o TRIMESTRE'!J59</f>
        <v>44469</v>
      </c>
      <c r="K59" s="122">
        <f>'4o TRIMESTRE'!K59</f>
        <v>180</v>
      </c>
      <c r="L59" s="18">
        <f>'4o TRIMESTRE'!L59</f>
        <v>26846364.449999999</v>
      </c>
      <c r="M59" s="123">
        <f>'4o TRIMESTRE'!M59</f>
        <v>44649</v>
      </c>
      <c r="N59" s="122">
        <f>'4o TRIMESTRE'!N59</f>
        <v>0</v>
      </c>
      <c r="O59" s="18">
        <f>'4o TRIMESTRE'!O59</f>
        <v>0</v>
      </c>
      <c r="P59" s="18">
        <v>-88236.160000000003</v>
      </c>
      <c r="Q59" s="122" t="str">
        <f>'4o TRIMESTRE'!Q59</f>
        <v>3.3.90.39</v>
      </c>
      <c r="R59" s="18">
        <f>'4o TRIMESTRE'!R59</f>
        <v>21900327</v>
      </c>
      <c r="S59" s="18">
        <f>'4o TRIMESTRE'!S59</f>
        <v>0</v>
      </c>
      <c r="T59" s="18">
        <f>'4o TRIMESTRE'!T59</f>
        <v>9132439.3599999994</v>
      </c>
      <c r="U59" s="18" t="e">
        <f>'4o TRIMESTRE'!U59</f>
        <v>#REF!</v>
      </c>
      <c r="V59" s="139" t="str">
        <f>'4o TRIMESTRE'!V59</f>
        <v>andamento</v>
      </c>
      <c r="W59" s="124" t="e">
        <f t="shared" si="0"/>
        <v>#REF!</v>
      </c>
      <c r="X59" s="138" t="str">
        <f t="shared" si="1"/>
        <v>verdadeiro</v>
      </c>
      <c r="Z59" s="42"/>
      <c r="AC59" s="124"/>
    </row>
    <row r="60" spans="1:29" ht="20.25" customHeight="1">
      <c r="A60" s="121" t="str">
        <f>'4o TRIMESTRE'!A60</f>
        <v>CONCORRÊNCIA / nº 007/2019</v>
      </c>
      <c r="B60" s="121" t="str">
        <f>'4o TRIMESTRE'!B60</f>
        <v>EMPRESA DE ENGENHARIA ESPECIALIZADA EM ILUMINAÇÃO PÚBLICA, PARA FORNECIMENTO E INSTALAÇÃO DE EQUIPAMENTOS DE SEGURANÇA CONTRA VAZAMENTO DE CORRENTES ELÉTRICAS E ATERRAMENTO DOS POSTES DE ILUMINAÇÃO PUBLICA DAS PRAÇAS E PARQUES DA CIDADE DO RECIFE.</v>
      </c>
      <c r="C60" s="121">
        <f>'4o TRIMESTRE'!C60</f>
        <v>0</v>
      </c>
      <c r="D60" s="18">
        <f>'4o TRIMESTRE'!D60</f>
        <v>0</v>
      </c>
      <c r="E60" s="18">
        <f>'4o TRIMESTRE'!E60</f>
        <v>0</v>
      </c>
      <c r="F60" s="18">
        <f>'4o TRIMESTRE'!F60</f>
        <v>0</v>
      </c>
      <c r="G60" s="121" t="str">
        <f>'4o TRIMESTRE'!G60</f>
        <v>41.116.138/0001-38</v>
      </c>
      <c r="H60" s="121" t="str">
        <f>'4o TRIMESTRE'!H60</f>
        <v>REAL ENERGY LTDA</v>
      </c>
      <c r="I60" s="122" t="str">
        <f>'4o TRIMESTRE'!I60</f>
        <v>6-051/19</v>
      </c>
      <c r="J60" s="123">
        <f>'4o TRIMESTRE'!J60</f>
        <v>43769</v>
      </c>
      <c r="K60" s="122">
        <f>'4o TRIMESTRE'!K60</f>
        <v>760</v>
      </c>
      <c r="L60" s="18">
        <f>'4o TRIMESTRE'!L60</f>
        <v>2584195.6</v>
      </c>
      <c r="M60" s="123">
        <f>'4o TRIMESTRE'!M60</f>
        <v>44619</v>
      </c>
      <c r="N60" s="122">
        <f>'4o TRIMESTRE'!N60</f>
        <v>90</v>
      </c>
      <c r="O60" s="18">
        <f>'4o TRIMESTRE'!O60</f>
        <v>327163.7</v>
      </c>
      <c r="P60" s="18">
        <v>707143.97</v>
      </c>
      <c r="Q60" s="122" t="str">
        <f>'4o TRIMESTRE'!Q60</f>
        <v>3.3.90.39</v>
      </c>
      <c r="R60" s="18">
        <f>'4o TRIMESTRE'!R60</f>
        <v>3261794.33</v>
      </c>
      <c r="S60" s="18">
        <f>'4o TRIMESTRE'!S60</f>
        <v>479586.47000000003</v>
      </c>
      <c r="T60" s="18">
        <f>'4o TRIMESTRE'!T60</f>
        <v>1675727.6500000001</v>
      </c>
      <c r="U60" s="18" t="e">
        <f>'4o TRIMESTRE'!U60</f>
        <v>#REF!</v>
      </c>
      <c r="V60" s="139" t="str">
        <f>'4o TRIMESTRE'!V60</f>
        <v>encerrado</v>
      </c>
      <c r="W60" s="124" t="e">
        <f t="shared" si="0"/>
        <v>#REF!</v>
      </c>
      <c r="X60" s="138" t="str">
        <f t="shared" si="1"/>
        <v>verdadeiro</v>
      </c>
      <c r="Z60" s="42"/>
      <c r="AC60" s="124"/>
    </row>
    <row r="61" spans="1:29" ht="20.25" customHeight="1">
      <c r="A61" s="121" t="str">
        <f>'4o TRIMESTRE'!A61</f>
        <v>Pregão Eletrônico Licitação: 032/2021</v>
      </c>
      <c r="B61" s="121" t="str">
        <f>'4o TRIMESTRE'!B61</f>
        <v>CONTRATAÇÃO DE EMPRESA ESPECIALIZADA NA PRESTAÇÃO DE SERVIÇOS CONTÍNUOS DE PAISAGISMO E CONSERVAÇÃO PREVENTIVA E CORRETIVA DE PARQUES, PRAÇAS, JARDINS E ÁREAS VERDES PÚBLICAS NA CIDADE DO RECIFE - LOTE 01</v>
      </c>
      <c r="C61" s="121" t="str">
        <f>'4o TRIMESTRE'!C61</f>
        <v>495721/2018 e 535346/2020</v>
      </c>
      <c r="D61" s="18">
        <f>'4o TRIMESTRE'!D61</f>
        <v>0</v>
      </c>
      <c r="E61" s="18">
        <f>'4o TRIMESTRE'!E61</f>
        <v>15823300.23</v>
      </c>
      <c r="F61" s="18">
        <f>'4o TRIMESTRE'!F61</f>
        <v>0</v>
      </c>
      <c r="G61" s="121" t="str">
        <f>'4o TRIMESTRE'!G61</f>
        <v>08.963.533/0001-80</v>
      </c>
      <c r="H61" s="121" t="str">
        <f>'4o TRIMESTRE'!H61</f>
        <v>FAR COMERCIO E SERVIÇOS PAISAGISTICOS LTDA</v>
      </c>
      <c r="I61" s="122" t="str">
        <f>'4o TRIMESTRE'!I61</f>
        <v>6-056/21</v>
      </c>
      <c r="J61" s="123">
        <f>'4o TRIMESTRE'!J61</f>
        <v>44531</v>
      </c>
      <c r="K61" s="122">
        <f>'4o TRIMESTRE'!K61</f>
        <v>760</v>
      </c>
      <c r="L61" s="18">
        <f>'4o TRIMESTRE'!L61</f>
        <v>3696587.52</v>
      </c>
      <c r="M61" s="123">
        <f>'4o TRIMESTRE'!M61</f>
        <v>45291</v>
      </c>
      <c r="N61" s="122">
        <f>'4o TRIMESTRE'!N61</f>
        <v>0</v>
      </c>
      <c r="O61" s="18">
        <f>'4o TRIMESTRE'!O61</f>
        <v>0</v>
      </c>
      <c r="P61" s="18">
        <v>-86748.08</v>
      </c>
      <c r="Q61" s="122" t="str">
        <f>'4o TRIMESTRE'!Q61</f>
        <v>3.3.90.39</v>
      </c>
      <c r="R61" s="18">
        <f>'4o TRIMESTRE'!R61</f>
        <v>415369.05</v>
      </c>
      <c r="S61" s="18">
        <f>'4o TRIMESTRE'!S61</f>
        <v>0</v>
      </c>
      <c r="T61" s="18">
        <f>'4o TRIMESTRE'!T61</f>
        <v>249788.94</v>
      </c>
      <c r="U61" s="18" t="e">
        <f>'4o TRIMESTRE'!U61</f>
        <v>#REF!</v>
      </c>
      <c r="V61" s="139" t="str">
        <f>'4o TRIMESTRE'!V61</f>
        <v>andamento</v>
      </c>
      <c r="W61" s="124" t="e">
        <f t="shared" si="0"/>
        <v>#REF!</v>
      </c>
      <c r="X61" s="138" t="str">
        <f t="shared" si="1"/>
        <v>verdadeiro</v>
      </c>
      <c r="Z61" s="42"/>
      <c r="AC61" s="124"/>
    </row>
    <row r="62" spans="1:29" ht="20.25" customHeight="1">
      <c r="A62" s="121" t="str">
        <f>'4o TRIMESTRE'!A62</f>
        <v>Pregão Eletrônico Licitação: 032/2021</v>
      </c>
      <c r="B62" s="121" t="str">
        <f>'4o TRIMESTRE'!B62</f>
        <v>CONTRATAÇÃO DE EMPRESA ESPECIALIZADA NA PRESTAÇÃO DE SERVIÇOS CONTÍNUOS DE PAISAGISMO E CONSERVAÇÃO PREVENTIVA E CORRETIVA DE PARQUES, PRAÇAS, JARDINS E ÁREAS VERDES PÚBLICOS NA CIDADE DO RECIFE - LOTE 02</v>
      </c>
      <c r="C62" s="121">
        <f>'4o TRIMESTRE'!C62</f>
        <v>0</v>
      </c>
      <c r="D62" s="18">
        <f>'4o TRIMESTRE'!D62</f>
        <v>0</v>
      </c>
      <c r="E62" s="18">
        <f>'4o TRIMESTRE'!E62</f>
        <v>0</v>
      </c>
      <c r="F62" s="18">
        <f>'4o TRIMESTRE'!F62</f>
        <v>0</v>
      </c>
      <c r="G62" s="121" t="str">
        <f>'4o TRIMESTRE'!G62</f>
        <v>08.963.533/0001-80</v>
      </c>
      <c r="H62" s="121" t="str">
        <f>'4o TRIMESTRE'!H62</f>
        <v>FAR COMERCIO E SERVIÇOS PAISAGISTICOS LTDA</v>
      </c>
      <c r="I62" s="122" t="str">
        <f>'4o TRIMESTRE'!I62</f>
        <v>6-057/21</v>
      </c>
      <c r="J62" s="123">
        <f>'4o TRIMESTRE'!J62</f>
        <v>44532</v>
      </c>
      <c r="K62" s="122">
        <f>'4o TRIMESTRE'!K62</f>
        <v>760</v>
      </c>
      <c r="L62" s="18">
        <f>'4o TRIMESTRE'!L62</f>
        <v>3380477.52</v>
      </c>
      <c r="M62" s="123">
        <f>'4o TRIMESTRE'!M62</f>
        <v>45292</v>
      </c>
      <c r="N62" s="122">
        <f>'4o TRIMESTRE'!N62</f>
        <v>0</v>
      </c>
      <c r="O62" s="18">
        <v>100704.67</v>
      </c>
      <c r="P62" s="18">
        <v>1135184.8</v>
      </c>
      <c r="Q62" s="122" t="str">
        <f>'4o TRIMESTRE'!Q62</f>
        <v>3.3.90.39</v>
      </c>
      <c r="R62" s="18">
        <f>'4o TRIMESTRE'!R62</f>
        <v>3021503.5599999996</v>
      </c>
      <c r="S62" s="18">
        <f>'4o TRIMESTRE'!S62</f>
        <v>1393902.4600000002</v>
      </c>
      <c r="T62" s="18">
        <f>'4o TRIMESTRE'!T62</f>
        <v>3299273.5</v>
      </c>
      <c r="U62" s="18" t="e">
        <f>'4o TRIMESTRE'!U62</f>
        <v>#REF!</v>
      </c>
      <c r="V62" s="139" t="str">
        <f>'4o TRIMESTRE'!V62</f>
        <v>andamento</v>
      </c>
      <c r="W62" s="124" t="e">
        <f t="shared" si="0"/>
        <v>#REF!</v>
      </c>
      <c r="X62" s="138" t="str">
        <f t="shared" si="1"/>
        <v>verdadeiro</v>
      </c>
      <c r="Z62" s="42"/>
      <c r="AB62" s="25"/>
      <c r="AC62" s="124"/>
    </row>
    <row r="63" spans="1:29" ht="20.25" customHeight="1">
      <c r="A63" s="121" t="str">
        <f>'4o TRIMESTRE'!A63</f>
        <v>CONCORRÊNCIA / nº 014/2021</v>
      </c>
      <c r="B63" s="121" t="str">
        <f>'4o TRIMESTRE'!B63</f>
        <v>CONTRATAÇÃO DE EMPRESA DE ENGENHARIA, ESPECIALIZADA EM ILUMINAÇÃO PÚBLICA, PARA FORNECIMENTO E INSTALAÇÃO DE LUMINÁRIAS COM TECNOLOGIA LED RGB E REDE ELÉTRICA, PARA ILUMINAÇÃO CÊNICA DO PARQUE DONA LINDU, BOA VIAGEM</v>
      </c>
      <c r="C63" s="121" t="str">
        <f>'4o TRIMESTRE'!C63</f>
        <v>495721/2018 e 535346/2020</v>
      </c>
      <c r="D63" s="18" t="str">
        <f>'4o TRIMESTRE'!D63</f>
        <v>FINISA</v>
      </c>
      <c r="E63" s="18">
        <f>'4o TRIMESTRE'!E63</f>
        <v>65823300.230000004</v>
      </c>
      <c r="F63" s="18">
        <f>'4o TRIMESTRE'!F63</f>
        <v>0</v>
      </c>
      <c r="G63" s="121" t="str">
        <f>'4o TRIMESTRE'!G63</f>
        <v>03.834.750/0001-57</v>
      </c>
      <c r="H63" s="121" t="str">
        <f>'4o TRIMESTRE'!H63</f>
        <v>EIP SERVICOS DE ILUMINACAO LTDA</v>
      </c>
      <c r="I63" s="122" t="str">
        <f>'4o TRIMESTRE'!I63</f>
        <v>6-001/22</v>
      </c>
      <c r="J63" s="123">
        <f>'4o TRIMESTRE'!J63</f>
        <v>44599</v>
      </c>
      <c r="K63" s="122">
        <f>'4o TRIMESTRE'!K63</f>
        <v>150</v>
      </c>
      <c r="L63" s="18">
        <f>'4o TRIMESTRE'!L63</f>
        <v>2245061.8199999998</v>
      </c>
      <c r="M63" s="123">
        <f>'4o TRIMESTRE'!M63</f>
        <v>44749</v>
      </c>
      <c r="N63" s="122">
        <f>'4o TRIMESTRE'!N63</f>
        <v>0</v>
      </c>
      <c r="O63" s="18">
        <f>'4o TRIMESTRE'!O63</f>
        <v>0</v>
      </c>
      <c r="P63" s="18">
        <v>-100291.84</v>
      </c>
      <c r="Q63" s="122" t="str">
        <f>'4o TRIMESTRE'!Q63</f>
        <v>4.4.90.39</v>
      </c>
      <c r="R63" s="18">
        <f>'4o TRIMESTRE'!R63</f>
        <v>0</v>
      </c>
      <c r="S63" s="18">
        <f>'4o TRIMESTRE'!S63</f>
        <v>0</v>
      </c>
      <c r="T63" s="18">
        <f>'4o TRIMESTRE'!T63</f>
        <v>0</v>
      </c>
      <c r="U63" s="18" t="e">
        <f>'4o TRIMESTRE'!U63</f>
        <v>#REF!</v>
      </c>
      <c r="V63" s="139" t="str">
        <f>'4o TRIMESTRE'!V63</f>
        <v>andamento</v>
      </c>
      <c r="W63" s="124" t="e">
        <f t="shared" si="0"/>
        <v>#REF!</v>
      </c>
      <c r="X63" s="138" t="str">
        <f t="shared" si="1"/>
        <v>verdadeiro</v>
      </c>
      <c r="Z63" s="42"/>
      <c r="AB63" s="42"/>
      <c r="AC63" s="124"/>
    </row>
    <row r="64" spans="1:29" ht="20.25" customHeight="1">
      <c r="A64" s="121" t="str">
        <f>'4o TRIMESTRE'!A64</f>
        <v>CONCORRÊNCIA / nº 012/2021</v>
      </c>
      <c r="B64" s="121" t="str">
        <f>'4o TRIMESTRE'!B64</f>
        <v>CONTRATAÇÃO DE EMPRESA DE ENGENHARIA, ESPECIALIZADA EM ILUMINAÇÃO PÚBLICA, PARA SERVIÇOS DE APOIO TÉCNICO PARA CIDADE DO RECIFE.</v>
      </c>
      <c r="C64" s="121">
        <f>'4o TRIMESTRE'!C64</f>
        <v>0</v>
      </c>
      <c r="D64" s="18">
        <f>'4o TRIMESTRE'!D64</f>
        <v>0</v>
      </c>
      <c r="E64" s="18">
        <f>'4o TRIMESTRE'!E64</f>
        <v>0</v>
      </c>
      <c r="F64" s="18">
        <f>'4o TRIMESTRE'!F64</f>
        <v>0</v>
      </c>
      <c r="G64" s="121" t="str">
        <f>'4o TRIMESTRE'!G64</f>
        <v>03.834.750/0001-57</v>
      </c>
      <c r="H64" s="121" t="str">
        <f>'4o TRIMESTRE'!H64</f>
        <v>EIP SERVICOS DE ILUMINACAO LTDA</v>
      </c>
      <c r="I64" s="122" t="str">
        <f>'4o TRIMESTRE'!I64</f>
        <v>6-002/22</v>
      </c>
      <c r="J64" s="123">
        <f>'4o TRIMESTRE'!J64</f>
        <v>44589</v>
      </c>
      <c r="K64" s="122">
        <f>'4o TRIMESTRE'!K64</f>
        <v>760</v>
      </c>
      <c r="L64" s="18">
        <f>'4o TRIMESTRE'!L64</f>
        <v>1418802</v>
      </c>
      <c r="M64" s="123">
        <f>'4o TRIMESTRE'!M64</f>
        <v>45349</v>
      </c>
      <c r="N64" s="122">
        <f>'4o TRIMESTRE'!N64</f>
        <v>0</v>
      </c>
      <c r="O64" s="18">
        <f>'4o TRIMESTRE'!O64</f>
        <v>306255.94</v>
      </c>
      <c r="P64" s="18">
        <f>13595811.38-L64</f>
        <v>12177009.380000001</v>
      </c>
      <c r="Q64" s="122" t="str">
        <f>'4o TRIMESTRE'!Q64</f>
        <v>3.3.90.39</v>
      </c>
      <c r="R64" s="18">
        <f>'4o TRIMESTRE'!R64</f>
        <v>3735143.84</v>
      </c>
      <c r="S64" s="18">
        <f>'4o TRIMESTRE'!S64</f>
        <v>1698917.0899999999</v>
      </c>
      <c r="T64" s="18">
        <f>'4o TRIMESTRE'!T64</f>
        <v>4271084.67</v>
      </c>
      <c r="U64" s="18" t="e">
        <f>'4o TRIMESTRE'!U64</f>
        <v>#REF!</v>
      </c>
      <c r="V64" s="139" t="str">
        <f>'4o TRIMESTRE'!V64</f>
        <v>andamento</v>
      </c>
      <c r="W64" s="124" t="e">
        <f t="shared" si="0"/>
        <v>#REF!</v>
      </c>
      <c r="X64" s="138" t="str">
        <f t="shared" si="1"/>
        <v>verdadeiro</v>
      </c>
      <c r="Z64" s="42"/>
      <c r="AB64" s="42"/>
      <c r="AC64" s="124"/>
    </row>
    <row r="65" spans="1:29" ht="20.25" customHeight="1">
      <c r="A65" s="121" t="str">
        <f>'4o TRIMESTRE'!A65</f>
        <v>CONCORRÊNCIA / nº 008/2021</v>
      </c>
      <c r="B65" s="121" t="str">
        <f>'4o TRIMESTRE'!B65</f>
        <v>CONTRATAÇÃO DE EMPRESA DE ENGENHARIA, ESPECIALIZADA EM ILUMINAÇÃO PÚBLICA, PARA EXECUÇÃO DA MANUTENÇÃO, PREVENTIVA E CORRETIVA, DO SISTEMA DE ILUMINAÇÃO CÊNICA DA CIDADE DO RECIFE</v>
      </c>
      <c r="C65" s="121">
        <f>'4o TRIMESTRE'!C65</f>
        <v>0</v>
      </c>
      <c r="D65" s="18" t="str">
        <f>'4o TRIMESTRE'!D65</f>
        <v>FINISA</v>
      </c>
      <c r="E65" s="18">
        <f>'4o TRIMESTRE'!E65</f>
        <v>50000000</v>
      </c>
      <c r="F65" s="18">
        <f>'4o TRIMESTRE'!F65</f>
        <v>0</v>
      </c>
      <c r="G65" s="121" t="str">
        <f>'4o TRIMESTRE'!G65</f>
        <v>03.834.750/0001-57</v>
      </c>
      <c r="H65" s="121" t="str">
        <f>'4o TRIMESTRE'!H65</f>
        <v>EIP SERVICOS DE ILUMINACAO LTDA</v>
      </c>
      <c r="I65" s="122" t="str">
        <f>'4o TRIMESTRE'!I65</f>
        <v>6-003/22</v>
      </c>
      <c r="J65" s="123">
        <f>'4o TRIMESTRE'!J65</f>
        <v>44589</v>
      </c>
      <c r="K65" s="122">
        <f>'4o TRIMESTRE'!K65</f>
        <v>760</v>
      </c>
      <c r="L65" s="18">
        <f>'4o TRIMESTRE'!L65</f>
        <v>3730846.67</v>
      </c>
      <c r="M65" s="123">
        <f>'4o TRIMESTRE'!M65</f>
        <v>45349</v>
      </c>
      <c r="N65" s="122">
        <f>'4o TRIMESTRE'!N65</f>
        <v>0</v>
      </c>
      <c r="O65" s="18">
        <f>'4o TRIMESTRE'!O65</f>
        <v>0</v>
      </c>
      <c r="P65" s="18">
        <v>3401715.99</v>
      </c>
      <c r="Q65" s="122" t="str">
        <f>'4o TRIMESTRE'!Q65</f>
        <v>4.4.90.39</v>
      </c>
      <c r="R65" s="18">
        <f>'4o TRIMESTRE'!R65</f>
        <v>2468763</v>
      </c>
      <c r="S65" s="18">
        <f>'4o TRIMESTRE'!S65</f>
        <v>926136.60999999987</v>
      </c>
      <c r="T65" s="18">
        <f>'4o TRIMESTRE'!T65</f>
        <v>3270495.73</v>
      </c>
      <c r="U65" s="18" t="e">
        <f>'4o TRIMESTRE'!U65</f>
        <v>#REF!</v>
      </c>
      <c r="V65" s="139" t="str">
        <f>'4o TRIMESTRE'!V65</f>
        <v>andamento</v>
      </c>
      <c r="W65" s="124" t="e">
        <f t="shared" si="0"/>
        <v>#REF!</v>
      </c>
      <c r="X65" s="138" t="str">
        <f t="shared" si="1"/>
        <v>verdadeiro</v>
      </c>
      <c r="Z65" s="42"/>
      <c r="AB65" s="45"/>
      <c r="AC65" s="124"/>
    </row>
    <row r="66" spans="1:29" ht="20.25" customHeight="1">
      <c r="A66" s="121" t="str">
        <f>'4o TRIMESTRE'!A66</f>
        <v>Pregão Eletrônico Licitação: 037/2021</v>
      </c>
      <c r="B66" s="121" t="str">
        <f>'4o TRIMESTRE'!B66</f>
        <v>SERVIÇOS DE INFRAESTURURA PARA IMPLANTAÇÃO DO MEMORIAL JUDAICO EM HONRA AO POVO JUDEU, NA PRAÇA TIRADENTES BAIRRO DO RECIFE, RECIFE - PE</v>
      </c>
      <c r="C66" s="121" t="str">
        <f>'4o TRIMESTRE'!C66</f>
        <v>535346/2020</v>
      </c>
      <c r="D66" s="18">
        <f>'4o TRIMESTRE'!D66</f>
        <v>0</v>
      </c>
      <c r="E66" s="18">
        <f>'4o TRIMESTRE'!E66</f>
        <v>15823300.23</v>
      </c>
      <c r="F66" s="18">
        <f>'4o TRIMESTRE'!F66</f>
        <v>0</v>
      </c>
      <c r="G66" s="121" t="str">
        <f>'4o TRIMESTRE'!G66</f>
        <v>22.257.930/0001-68</v>
      </c>
      <c r="H66" s="121" t="str">
        <f>'4o TRIMESTRE'!H66</f>
        <v>G O DOS SANTOS CONSTRUCOES EIRELI</v>
      </c>
      <c r="I66" s="122" t="str">
        <f>'4o TRIMESTRE'!I66</f>
        <v>6-004/22</v>
      </c>
      <c r="J66" s="123">
        <f>'4o TRIMESTRE'!J66</f>
        <v>44602</v>
      </c>
      <c r="K66" s="122">
        <f>'4o TRIMESTRE'!K66</f>
        <v>60</v>
      </c>
      <c r="L66" s="18">
        <f>'4o TRIMESTRE'!L66</f>
        <v>119999.98</v>
      </c>
      <c r="M66" s="123">
        <f>'4o TRIMESTRE'!M66</f>
        <v>44662</v>
      </c>
      <c r="N66" s="122">
        <f>'4o TRIMESTRE'!N66</f>
        <v>0</v>
      </c>
      <c r="O66" s="18">
        <f>'4o TRIMESTRE'!O66</f>
        <v>0</v>
      </c>
      <c r="P66" s="18">
        <v>0</v>
      </c>
      <c r="Q66" s="122" t="str">
        <f>'4o TRIMESTRE'!Q66</f>
        <v>4.4.90.39</v>
      </c>
      <c r="R66" s="18">
        <f>'4o TRIMESTRE'!R66</f>
        <v>0</v>
      </c>
      <c r="S66" s="18">
        <f>'4o TRIMESTRE'!S66</f>
        <v>0</v>
      </c>
      <c r="T66" s="18">
        <f>'4o TRIMESTRE'!T66</f>
        <v>0</v>
      </c>
      <c r="U66" s="18" t="e">
        <f>'4o TRIMESTRE'!U66</f>
        <v>#REF!</v>
      </c>
      <c r="V66" s="139" t="str">
        <f>'4o TRIMESTRE'!V66</f>
        <v>cadastrado</v>
      </c>
      <c r="W66" s="124" t="e">
        <f t="shared" si="0"/>
        <v>#REF!</v>
      </c>
      <c r="X66" s="138" t="str">
        <f t="shared" si="1"/>
        <v>verdadeiro</v>
      </c>
      <c r="Z66" s="42"/>
      <c r="AB66" s="42"/>
      <c r="AC66" s="124"/>
    </row>
    <row r="67" spans="1:29" ht="20.25" customHeight="1">
      <c r="A67" s="121" t="str">
        <f>'4o TRIMESTRE'!A67</f>
        <v>Tomada de Preço Licitação: 009/2021</v>
      </c>
      <c r="B67" s="121" t="str">
        <f>'4o TRIMESTRE'!B67</f>
        <v>SERVIÇOS DE REFORMA DE DIVERSOS PRÉDIOS PÚBLICOS MANTIDOS PELA EMLURB: LOTE 01 DLU E GOFIS DA RPA 01 E RPA 06, LOTE 02 DIVERSOS BANHEIROS PÚBLICOS, SEDE DA EMLURB E LABORATÓRIO. LOCALIZADOS EM DIVERSOS BAIRROS DA CIDADE DO RECIFE PE</v>
      </c>
      <c r="C67" s="121" t="str">
        <f>'4o TRIMESTRE'!C67</f>
        <v>495721/2018 e 535346/2020</v>
      </c>
      <c r="D67" s="18">
        <f>'4o TRIMESTRE'!D67</f>
        <v>0</v>
      </c>
      <c r="E67" s="18">
        <f>'4o TRIMESTRE'!E67</f>
        <v>15823300.23</v>
      </c>
      <c r="F67" s="18">
        <f>'4o TRIMESTRE'!F67</f>
        <v>0</v>
      </c>
      <c r="G67" s="121" t="str">
        <f>'4o TRIMESTRE'!G67</f>
        <v>30.700.985/0001-29</v>
      </c>
      <c r="H67" s="121" t="str">
        <f>'4o TRIMESTRE'!H67</f>
        <v>CONSTRUTORA MANASSU LTDA</v>
      </c>
      <c r="I67" s="122" t="str">
        <f>'4o TRIMESTRE'!I67</f>
        <v>6-005/22</v>
      </c>
      <c r="J67" s="123">
        <f>'4o TRIMESTRE'!J67</f>
        <v>44606</v>
      </c>
      <c r="K67" s="122">
        <f>'4o TRIMESTRE'!K67</f>
        <v>270</v>
      </c>
      <c r="L67" s="18">
        <f>'4o TRIMESTRE'!L67</f>
        <v>493303.08</v>
      </c>
      <c r="M67" s="123">
        <f>'4o TRIMESTRE'!M67</f>
        <v>44876</v>
      </c>
      <c r="N67" s="122">
        <f>'4o TRIMESTRE'!N67</f>
        <v>0</v>
      </c>
      <c r="O67" s="18">
        <f>'4o TRIMESTRE'!O67</f>
        <v>0</v>
      </c>
      <c r="P67" s="18">
        <v>-56350.94</v>
      </c>
      <c r="Q67" s="122" t="str">
        <f>'4o TRIMESTRE'!Q67</f>
        <v>4.4.90.39</v>
      </c>
      <c r="R67" s="18">
        <f>'4o TRIMESTRE'!R67</f>
        <v>0</v>
      </c>
      <c r="S67" s="18">
        <f>'4o TRIMESTRE'!S67</f>
        <v>0</v>
      </c>
      <c r="T67" s="18">
        <f>'4o TRIMESTRE'!T67</f>
        <v>0</v>
      </c>
      <c r="U67" s="18" t="e">
        <f>'4o TRIMESTRE'!U67</f>
        <v>#REF!</v>
      </c>
      <c r="V67" s="139" t="str">
        <f>'4o TRIMESTRE'!V67</f>
        <v>encerrado</v>
      </c>
      <c r="W67" s="124" t="e">
        <f t="shared" si="0"/>
        <v>#REF!</v>
      </c>
      <c r="X67" s="138" t="str">
        <f t="shared" si="1"/>
        <v>verdadeiro</v>
      </c>
      <c r="Y67" s="12"/>
      <c r="Z67" s="42"/>
      <c r="AB67" s="42"/>
      <c r="AC67" s="124"/>
    </row>
    <row r="68" spans="1:29" ht="20.25" customHeight="1">
      <c r="A68" s="121" t="str">
        <f>'4o TRIMESTRE'!A68</f>
        <v>CREDENCIAMENTO Licitação: 001/2021</v>
      </c>
      <c r="B68" s="121" t="str">
        <f>'4o TRIMESTRE'!B68</f>
        <v>CREDENCIAMENTO DE EMPRESA ESPECIALIZADA EM ENGENHARIA SANITÁRIA PARA RECOLHIMENTO, TRATAMENTO E DISPOSIÇÃO FINAL AMBIENTALMENTE CORRETO DE LÍQUIDOS ORIUNDOS DO ATERRO DESATIVADO DA MURIBECA SOB RESPONSABILIDADE DA EMLURB</v>
      </c>
      <c r="C68" s="121" t="str">
        <f>'4o TRIMESTRE'!C68</f>
        <v>535346/2020</v>
      </c>
      <c r="D68" s="18">
        <f>'4o TRIMESTRE'!D68</f>
        <v>0</v>
      </c>
      <c r="E68" s="18">
        <f>'4o TRIMESTRE'!E68</f>
        <v>15823300.23</v>
      </c>
      <c r="F68" s="18">
        <f>'4o TRIMESTRE'!F68</f>
        <v>0</v>
      </c>
      <c r="G68" s="121" t="str">
        <f>'4o TRIMESTRE'!G68</f>
        <v>08.165.091/0002-08</v>
      </c>
      <c r="H68" s="121" t="str">
        <f>'4o TRIMESTRE'!H68</f>
        <v>ECOPESA AMBIENTAL S.A.</v>
      </c>
      <c r="I68" s="122" t="str">
        <f>'4o TRIMESTRE'!I68</f>
        <v>6-006/22</v>
      </c>
      <c r="J68" s="123">
        <f>'4o TRIMESTRE'!J68</f>
        <v>44606</v>
      </c>
      <c r="K68" s="122">
        <f>'4o TRIMESTRE'!K68</f>
        <v>395</v>
      </c>
      <c r="L68" s="18">
        <f>'4o TRIMESTRE'!L68</f>
        <v>1392960</v>
      </c>
      <c r="M68" s="123">
        <f>'4o TRIMESTRE'!M68</f>
        <v>45001</v>
      </c>
      <c r="N68" s="122">
        <f>'4o TRIMESTRE'!N68</f>
        <v>0</v>
      </c>
      <c r="O68" s="18">
        <f>'4o TRIMESTRE'!O68</f>
        <v>0</v>
      </c>
      <c r="P68" s="18">
        <v>0</v>
      </c>
      <c r="Q68" s="122" t="str">
        <f>'4o TRIMESTRE'!Q68</f>
        <v>3.3.90.39</v>
      </c>
      <c r="R68" s="18">
        <f>'4o TRIMESTRE'!R68</f>
        <v>203952.56</v>
      </c>
      <c r="S68" s="18">
        <f>'4o TRIMESTRE'!S68</f>
        <v>0</v>
      </c>
      <c r="T68" s="18">
        <f>'4o TRIMESTRE'!T68</f>
        <v>203952.56</v>
      </c>
      <c r="U68" s="18" t="e">
        <f>'4o TRIMESTRE'!U68</f>
        <v>#REF!</v>
      </c>
      <c r="V68" s="139" t="str">
        <f>'4o TRIMESTRE'!V68</f>
        <v>andamento</v>
      </c>
      <c r="W68" s="124" t="e">
        <f t="shared" si="0"/>
        <v>#REF!</v>
      </c>
      <c r="X68" s="138" t="str">
        <f t="shared" si="1"/>
        <v>verdadeiro</v>
      </c>
      <c r="Z68" s="42"/>
      <c r="AC68" s="124"/>
    </row>
    <row r="69" spans="1:29" ht="20.25" customHeight="1">
      <c r="A69" s="121" t="str">
        <f>'4o TRIMESTRE'!A69</f>
        <v>Tomada de Preço Licitação: 011/2021</v>
      </c>
      <c r="B69" s="121" t="str">
        <f>'4o TRIMESTRE'!B69</f>
        <v>CONTRATAÇÃO DE EMPRESA DE ENGENHARIA, ESPECIALIZADA EM ILUMINAÇÃO PÚBLICA, PARA FORNECIMENTO DE LUMINÁRIAS COM TECNOLOGIA LED RGB E REDE ELÉTRICA, PARA ILUMINAÇÃO CÊNICA DA PASSARELA JOANA BEZERRA.</v>
      </c>
      <c r="C69" s="121" t="str">
        <f>'4o TRIMESTRE'!C69</f>
        <v>535346/2020</v>
      </c>
      <c r="D69" s="18" t="str">
        <f>'4o TRIMESTRE'!D69</f>
        <v>FINISA</v>
      </c>
      <c r="E69" s="18">
        <f>'4o TRIMESTRE'!E69</f>
        <v>65823300.230000004</v>
      </c>
      <c r="F69" s="18">
        <f>'4o TRIMESTRE'!F69</f>
        <v>0</v>
      </c>
      <c r="G69" s="121" t="str">
        <f>'4o TRIMESTRE'!G69</f>
        <v>01.346.561/0001-00</v>
      </c>
      <c r="H69" s="121" t="str">
        <f>'4o TRIMESTRE'!H69</f>
        <v>VASCONCELOS E SANTOS LTDA</v>
      </c>
      <c r="I69" s="122" t="str">
        <f>'4o TRIMESTRE'!I69</f>
        <v>6-007/22</v>
      </c>
      <c r="J69" s="123">
        <f>'4o TRIMESTRE'!J69</f>
        <v>44610</v>
      </c>
      <c r="K69" s="122">
        <f>'4o TRIMESTRE'!K69</f>
        <v>150</v>
      </c>
      <c r="L69" s="18">
        <f>'4o TRIMESTRE'!L69</f>
        <v>811940.61</v>
      </c>
      <c r="M69" s="123">
        <f>'4o TRIMESTRE'!M69</f>
        <v>44820</v>
      </c>
      <c r="N69" s="122">
        <f>'4o TRIMESTRE'!N69</f>
        <v>60</v>
      </c>
      <c r="O69" s="18">
        <f>'4o TRIMESTRE'!O69</f>
        <v>0</v>
      </c>
      <c r="P69" s="18">
        <v>37426.51</v>
      </c>
      <c r="Q69" s="122" t="str">
        <f>'4o TRIMESTRE'!Q69</f>
        <v>4.4.90.39</v>
      </c>
      <c r="R69" s="18">
        <f>'4o TRIMESTRE'!R69</f>
        <v>424064.2</v>
      </c>
      <c r="S69" s="18">
        <f>'4o TRIMESTRE'!S69</f>
        <v>0</v>
      </c>
      <c r="T69" s="18">
        <f>'4o TRIMESTRE'!T69</f>
        <v>543672.6</v>
      </c>
      <c r="U69" s="18" t="e">
        <f>'4o TRIMESTRE'!U69</f>
        <v>#REF!</v>
      </c>
      <c r="V69" s="139" t="str">
        <f>'4o TRIMESTRE'!V69</f>
        <v>encerrado</v>
      </c>
      <c r="W69" s="124" t="e">
        <f t="shared" si="0"/>
        <v>#REF!</v>
      </c>
      <c r="X69" s="138" t="str">
        <f t="shared" si="1"/>
        <v>verdadeiro</v>
      </c>
      <c r="Z69" s="42"/>
      <c r="AC69" s="124"/>
    </row>
    <row r="70" spans="1:29" ht="20.25" customHeight="1">
      <c r="A70" s="121" t="str">
        <f>'4o TRIMESTRE'!A70</f>
        <v>CONCORRÊNCIA / nº 017/2021</v>
      </c>
      <c r="B70" s="121" t="str">
        <f>'4o TRIMESTRE'!B70</f>
        <v>IMPLANTAÇÃO DE TRECHO DE DRENAGEM DA RUA VINTE E UM DE ABRIL COM A RUA LÍDIA GUIMARÃES, EM AFOGADOS RECIE-PE</v>
      </c>
      <c r="C70" s="121" t="str">
        <f>'4o TRIMESTRE'!C70</f>
        <v>535346/2020</v>
      </c>
      <c r="D70" s="18">
        <f>'4o TRIMESTRE'!D70</f>
        <v>0</v>
      </c>
      <c r="E70" s="18">
        <f>'4o TRIMESTRE'!E70</f>
        <v>15823300.23</v>
      </c>
      <c r="F70" s="18">
        <f>'4o TRIMESTRE'!F70</f>
        <v>0</v>
      </c>
      <c r="G70" s="121" t="str">
        <f>'4o TRIMESTRE'!G70</f>
        <v>10.893.105/0001-70</v>
      </c>
      <c r="H70" s="121" t="str">
        <f>'4o TRIMESTRE'!H70</f>
        <v>AGILIS CONSTRUTORA LTDA</v>
      </c>
      <c r="I70" s="122" t="str">
        <f>'4o TRIMESTRE'!I70</f>
        <v>6-008/22</v>
      </c>
      <c r="J70" s="123">
        <f>'4o TRIMESTRE'!J70</f>
        <v>44615</v>
      </c>
      <c r="K70" s="122">
        <f>'4o TRIMESTRE'!K70</f>
        <v>180</v>
      </c>
      <c r="L70" s="18">
        <f>'4o TRIMESTRE'!L70</f>
        <v>477968.09</v>
      </c>
      <c r="M70" s="123">
        <f>'4o TRIMESTRE'!M70</f>
        <v>44795</v>
      </c>
      <c r="N70" s="122">
        <f>'4o TRIMESTRE'!N70</f>
        <v>0</v>
      </c>
      <c r="O70" s="18">
        <f>'4o TRIMESTRE'!O70</f>
        <v>0</v>
      </c>
      <c r="P70" s="18">
        <v>0</v>
      </c>
      <c r="Q70" s="122" t="str">
        <f>'4o TRIMESTRE'!Q70</f>
        <v>4.4.90.39</v>
      </c>
      <c r="R70" s="18">
        <f>'4o TRIMESTRE'!R70</f>
        <v>266723.90000000002</v>
      </c>
      <c r="S70" s="18">
        <f>'4o TRIMESTRE'!S70</f>
        <v>0</v>
      </c>
      <c r="T70" s="18">
        <f>'4o TRIMESTRE'!T70</f>
        <v>266723.90000000002</v>
      </c>
      <c r="U70" s="18" t="e">
        <f>'4o TRIMESTRE'!U70</f>
        <v>#REF!</v>
      </c>
      <c r="V70" s="139" t="str">
        <f>'4o TRIMESTRE'!V70</f>
        <v>andamento</v>
      </c>
      <c r="W70" s="124" t="e">
        <f t="shared" si="0"/>
        <v>#REF!</v>
      </c>
      <c r="X70" s="138" t="str">
        <f t="shared" si="1"/>
        <v>verdadeiro</v>
      </c>
      <c r="Z70" s="42"/>
      <c r="AA70" s="42"/>
      <c r="AB70" s="12"/>
      <c r="AC70" s="124"/>
    </row>
    <row r="71" spans="1:29" ht="20.25" customHeight="1">
      <c r="A71" s="121" t="str">
        <f>'4o TRIMESTRE'!A71</f>
        <v>CONCORRÊNCIA / nº 018/2021</v>
      </c>
      <c r="B71" s="121" t="str">
        <f>'4o TRIMESTRE'!B71</f>
        <v>SERVIÇOS DE REQUALIFICAÇÃO DE PAVIMENTAÇÃO, DRENAGEM, ACESSIBILIDADE E SINALIZAÇÃO DA RUA CARLOS PEREIRA FALÇÃO TRECHO ENTRE AS RUAS VISCONDE DE JEQUITINHONHA E TENENTE DOMINGOS DE BRITO LOCALIZADA NO BAIRRO DE BOA VIAGEM NA CIDADE DO RECIFE - PE</v>
      </c>
      <c r="C71" s="121" t="str">
        <f>'4o TRIMESTRE'!C71</f>
        <v>535346/2020</v>
      </c>
      <c r="D71" s="18" t="str">
        <f>'4o TRIMESTRE'!D71</f>
        <v>Emenda Parlamentar Federal</v>
      </c>
      <c r="E71" s="18">
        <f>'4o TRIMESTRE'!E71</f>
        <v>16590641.23</v>
      </c>
      <c r="F71" s="18">
        <f>'4o TRIMESTRE'!F71</f>
        <v>8000</v>
      </c>
      <c r="G71" s="121" t="str">
        <f>'4o TRIMESTRE'!G71</f>
        <v>10.893.105/0001-70</v>
      </c>
      <c r="H71" s="121" t="str">
        <f>'4o TRIMESTRE'!H71</f>
        <v>AGILIS CONSTRUTORA LTDA</v>
      </c>
      <c r="I71" s="122" t="str">
        <f>'4o TRIMESTRE'!I71</f>
        <v>6-009/22</v>
      </c>
      <c r="J71" s="123">
        <f>'4o TRIMESTRE'!J71</f>
        <v>44630</v>
      </c>
      <c r="K71" s="122">
        <f>'4o TRIMESTRE'!K71</f>
        <v>180</v>
      </c>
      <c r="L71" s="18">
        <f>'4o TRIMESTRE'!L71</f>
        <v>730428.03</v>
      </c>
      <c r="M71" s="123">
        <f>'4o TRIMESTRE'!M71</f>
        <v>44900</v>
      </c>
      <c r="N71" s="122">
        <f>'4o TRIMESTRE'!N71</f>
        <v>90</v>
      </c>
      <c r="O71" s="18">
        <f>'4o TRIMESTRE'!O71</f>
        <v>144753.82</v>
      </c>
      <c r="P71" s="18">
        <v>0</v>
      </c>
      <c r="Q71" s="122" t="str">
        <f>'4o TRIMESTRE'!Q71</f>
        <v>4.4.90.39</v>
      </c>
      <c r="R71" s="18">
        <f>'4o TRIMESTRE'!R71</f>
        <v>768148.41</v>
      </c>
      <c r="S71" s="18">
        <f>'4o TRIMESTRE'!S71</f>
        <v>689208.11</v>
      </c>
      <c r="T71" s="18">
        <f>'4o TRIMESTRE'!T71</f>
        <v>870731.65</v>
      </c>
      <c r="U71" s="18" t="e">
        <f>'4o TRIMESTRE'!U71</f>
        <v>#REF!</v>
      </c>
      <c r="V71" s="139" t="str">
        <f>'4o TRIMESTRE'!V71</f>
        <v>encerrado</v>
      </c>
      <c r="W71" s="124" t="e">
        <f t="shared" si="0"/>
        <v>#REF!</v>
      </c>
      <c r="X71" s="138" t="str">
        <f t="shared" si="1"/>
        <v>verdadeiro</v>
      </c>
      <c r="Z71" s="42"/>
      <c r="AC71" s="124"/>
    </row>
    <row r="72" spans="1:29" ht="20.25" customHeight="1">
      <c r="A72" s="121" t="str">
        <f>'4o TRIMESTRE'!A72</f>
        <v>Pregão Eletrônico Licitação: 002/2022</v>
      </c>
      <c r="B72" s="121" t="str">
        <f>'4o TRIMESTRE'!B72</f>
        <v>CONTRATAÇÃO DE PESSOA S JURÍDICA S ESPECIALIZADA EM ENGENHARIA SANITÁRIA PARA RECEBIMENTO, TRATAMENTO E DISPOSIÇÃO FINAL DE RESÍDUOS DE CONSTRUÇÃO RCC CLASSE A INERTE COLETADOS PELA EMLURB NO MUNICÍPIO DO RECIFE</v>
      </c>
      <c r="C72" s="121" t="str">
        <f>'4o TRIMESTRE'!C72</f>
        <v>535346/2020</v>
      </c>
      <c r="D72" s="18">
        <f>'4o TRIMESTRE'!D72</f>
        <v>0</v>
      </c>
      <c r="E72" s="18">
        <f>'4o TRIMESTRE'!E72</f>
        <v>15823300.23</v>
      </c>
      <c r="F72" s="18">
        <f>'4o TRIMESTRE'!F72</f>
        <v>0</v>
      </c>
      <c r="G72" s="121" t="str">
        <f>'4o TRIMESTRE'!G72</f>
        <v>10.877.732/0001-18</v>
      </c>
      <c r="H72" s="121" t="str">
        <f>'4o TRIMESTRE'!H72</f>
        <v>CICLO AMBIENTAL LTDA</v>
      </c>
      <c r="I72" s="122" t="str">
        <f>'4o TRIMESTRE'!I72</f>
        <v>6-012/22</v>
      </c>
      <c r="J72" s="123">
        <f>'4o TRIMESTRE'!J72</f>
        <v>44635</v>
      </c>
      <c r="K72" s="122">
        <f>'4o TRIMESTRE'!K72</f>
        <v>1890</v>
      </c>
      <c r="L72" s="18">
        <f>'4o TRIMESTRE'!L72</f>
        <v>28992600</v>
      </c>
      <c r="M72" s="123">
        <f>'4o TRIMESTRE'!M72</f>
        <v>46525</v>
      </c>
      <c r="N72" s="122">
        <f>'4o TRIMESTRE'!N72</f>
        <v>0</v>
      </c>
      <c r="O72" s="18">
        <f>'4o TRIMESTRE'!O72</f>
        <v>0</v>
      </c>
      <c r="P72" s="18">
        <v>0</v>
      </c>
      <c r="Q72" s="122" t="str">
        <f>'4o TRIMESTRE'!Q72</f>
        <v>3.3.90.39</v>
      </c>
      <c r="R72" s="18">
        <f>'4o TRIMESTRE'!R72</f>
        <v>0</v>
      </c>
      <c r="S72" s="18">
        <f>'4o TRIMESTRE'!S72</f>
        <v>0</v>
      </c>
      <c r="T72" s="18">
        <f>'4o TRIMESTRE'!T72</f>
        <v>0</v>
      </c>
      <c r="U72" s="18" t="e">
        <f>'4o TRIMESTRE'!U72</f>
        <v>#REF!</v>
      </c>
      <c r="V72" s="139" t="str">
        <f>'4o TRIMESTRE'!V72</f>
        <v>andamento</v>
      </c>
      <c r="W72" s="124" t="e">
        <f t="shared" si="0"/>
        <v>#REF!</v>
      </c>
      <c r="X72" s="138" t="str">
        <f t="shared" si="1"/>
        <v>verdadeiro</v>
      </c>
      <c r="Z72" s="42"/>
      <c r="AC72" s="124"/>
    </row>
    <row r="73" spans="1:29" ht="20.25" customHeight="1">
      <c r="A73" s="121" t="str">
        <f>'4o TRIMESTRE'!A73</f>
        <v>CONCORRÊNCIA / nº 018/2021</v>
      </c>
      <c r="B73" s="121" t="str">
        <f>'4o TRIMESTRE'!B73</f>
        <v>CONTRATAÇÃO DE EMPRESA ESPCIALIZADA NO RAMO DE ENGENHARIA PARA EXECUÇÃO DOS SERVIÇOS DE RECUPERAÇÃO DE REDE DE DRENAGEM E PAVIMENTAÇÃO DA RUA ACAJUTIBA, NO TRECHO ENTRE AS RUAS GÁLIA E PINTO FERREIRA, LOCALIZADAS NO BAIRRO DE BONGI, RECIFE - PE</v>
      </c>
      <c r="C73" s="121" t="str">
        <f>'4o TRIMESTRE'!C73</f>
        <v>535346/2020</v>
      </c>
      <c r="D73" s="18" t="str">
        <f>'4o TRIMESTRE'!D73</f>
        <v>Emenda Parlamentar Federal - TRANSFERÊNCIA  ESPECIAL - FELIPE CARRERA</v>
      </c>
      <c r="E73" s="18">
        <f>'4o TRIMESTRE'!E73</f>
        <v>18963293.23</v>
      </c>
      <c r="F73" s="18">
        <f>'4o TRIMESTRE'!F73</f>
        <v>0</v>
      </c>
      <c r="G73" s="121" t="str">
        <f>'4o TRIMESTRE'!G73</f>
        <v>03.608.944/0001-34</v>
      </c>
      <c r="H73" s="121" t="str">
        <f>'4o TRIMESTRE'!H73</f>
        <v>JEPAC CONSTRUCOES LTDA</v>
      </c>
      <c r="I73" s="122" t="str">
        <f>'4o TRIMESTRE'!I73</f>
        <v>6-013/22</v>
      </c>
      <c r="J73" s="123">
        <f>'4o TRIMESTRE'!J73</f>
        <v>44650</v>
      </c>
      <c r="K73" s="122">
        <f>'4o TRIMESTRE'!K73</f>
        <v>150</v>
      </c>
      <c r="L73" s="18">
        <f>'4o TRIMESTRE'!L73</f>
        <v>789983.51</v>
      </c>
      <c r="M73" s="123">
        <f>'4o TRIMESTRE'!M73</f>
        <v>44800</v>
      </c>
      <c r="N73" s="122">
        <f>'4o TRIMESTRE'!N73</f>
        <v>0</v>
      </c>
      <c r="O73" s="18">
        <f>'4o TRIMESTRE'!O73</f>
        <v>0</v>
      </c>
      <c r="P73" s="18">
        <v>0</v>
      </c>
      <c r="Q73" s="122" t="str">
        <f>'4o TRIMESTRE'!Q73</f>
        <v>4.4.90.39</v>
      </c>
      <c r="R73" s="18">
        <f>'4o TRIMESTRE'!R73</f>
        <v>0</v>
      </c>
      <c r="S73" s="18">
        <f>'4o TRIMESTRE'!S73</f>
        <v>0</v>
      </c>
      <c r="T73" s="18">
        <f>'4o TRIMESTRE'!T73</f>
        <v>0</v>
      </c>
      <c r="U73" s="18" t="e">
        <f>'4o TRIMESTRE'!U73</f>
        <v>#REF!</v>
      </c>
      <c r="V73" s="139" t="str">
        <f>'4o TRIMESTRE'!V73</f>
        <v>encerrado</v>
      </c>
      <c r="W73" s="124" t="e">
        <f t="shared" ref="W73:W87" si="2">R73-U73</f>
        <v>#REF!</v>
      </c>
      <c r="X73" s="138" t="str">
        <f t="shared" ref="X73:X87" si="3">IF(M73&gt;$X$4,"verdadeiro","Falso")</f>
        <v>verdadeiro</v>
      </c>
      <c r="Z73" s="42"/>
      <c r="AC73" s="124"/>
    </row>
    <row r="74" spans="1:29" ht="20.25" customHeight="1">
      <c r="A74" s="121" t="str">
        <f>'4o TRIMESTRE'!A74</f>
        <v>CONCORRÊNCIA / nº 001/2021</v>
      </c>
      <c r="B74" s="121" t="str">
        <f>'4o TRIMESTRE'!B74</f>
        <v>CONTRATAÇÃO DE EMPRESA SANITÁRIA ESPECIALIZADA PARA A EXECUÇÃO DOS SERVIÇOS DE COLETA E LIMPEZA URBANA NO MUNICÍPIO DO RECIFE. LOTE 1- A</v>
      </c>
      <c r="C74" s="121" t="str">
        <f>'4o TRIMESTRE'!C74</f>
        <v>535346/2020</v>
      </c>
      <c r="D74" s="18">
        <f>'4o TRIMESTRE'!D74</f>
        <v>0</v>
      </c>
      <c r="E74" s="18">
        <f>'4o TRIMESTRE'!E74</f>
        <v>15823300.23</v>
      </c>
      <c r="F74" s="18">
        <f>'4o TRIMESTRE'!F74</f>
        <v>0</v>
      </c>
      <c r="G74" s="121" t="str">
        <f>'4o TRIMESTRE'!G74</f>
        <v>02.536.066/0015-21</v>
      </c>
      <c r="H74" s="121" t="str">
        <f>'4o TRIMESTRE'!H74</f>
        <v>VITAL ENGENHARIA AMBIENTAL S/A</v>
      </c>
      <c r="I74" s="122" t="str">
        <f>'4o TRIMESTRE'!I74</f>
        <v>6-014/22</v>
      </c>
      <c r="J74" s="123">
        <f>'4o TRIMESTRE'!J74</f>
        <v>44649</v>
      </c>
      <c r="K74" s="122">
        <f>'4o TRIMESTRE'!K74</f>
        <v>1825</v>
      </c>
      <c r="L74" s="18">
        <f>'4o TRIMESTRE'!L74</f>
        <v>201897816.06</v>
      </c>
      <c r="M74" s="123">
        <f>'4o TRIMESTRE'!M74</f>
        <v>46474</v>
      </c>
      <c r="N74" s="122">
        <f>'4o TRIMESTRE'!N74</f>
        <v>0</v>
      </c>
      <c r="O74" s="18">
        <f>'4o TRIMESTRE'!O74</f>
        <v>0</v>
      </c>
      <c r="P74" s="18">
        <v>0</v>
      </c>
      <c r="Q74" s="122" t="str">
        <f>'4o TRIMESTRE'!Q74</f>
        <v>3.3.90.39</v>
      </c>
      <c r="R74" s="18">
        <f>'4o TRIMESTRE'!R74</f>
        <v>0</v>
      </c>
      <c r="S74" s="18">
        <f>'4o TRIMESTRE'!S74</f>
        <v>0</v>
      </c>
      <c r="T74" s="18">
        <f>'4o TRIMESTRE'!T74</f>
        <v>0</v>
      </c>
      <c r="U74" s="18" t="e">
        <f>'4o TRIMESTRE'!U74</f>
        <v>#REF!</v>
      </c>
      <c r="V74" s="139" t="str">
        <f>'4o TRIMESTRE'!V74</f>
        <v>andamento</v>
      </c>
      <c r="W74" s="124" t="e">
        <f t="shared" si="2"/>
        <v>#REF!</v>
      </c>
      <c r="X74" s="138" t="str">
        <f t="shared" si="3"/>
        <v>verdadeiro</v>
      </c>
      <c r="Z74" s="42"/>
      <c r="AC74" s="124"/>
    </row>
    <row r="75" spans="1:29" ht="20.25" customHeight="1">
      <c r="A75" s="121" t="str">
        <f>'4o TRIMESTRE'!A75</f>
        <v>CONCORRÊNCIA / nº 001/2021</v>
      </c>
      <c r="B75" s="121" t="str">
        <f>'4o TRIMESTRE'!B75</f>
        <v>CONTRATAÇÃO DE EMPRESA SANITÁRIA ESPECIALIZADA PARA A EXECUÇÃO DOS SERVIÇOS DE COLETA E LIMPEZA URBANA NO MUNICÍPIO DO RECIFE. LOTE 1-B</v>
      </c>
      <c r="C75" s="121" t="str">
        <f>'4o TRIMESTRE'!C75</f>
        <v>535346/2020</v>
      </c>
      <c r="D75" s="18">
        <f>'4o TRIMESTRE'!D75</f>
        <v>0</v>
      </c>
      <c r="E75" s="18">
        <f>'4o TRIMESTRE'!E75</f>
        <v>15823300.23</v>
      </c>
      <c r="F75" s="18">
        <f>'4o TRIMESTRE'!F75</f>
        <v>0</v>
      </c>
      <c r="G75" s="121" t="str">
        <f>'4o TRIMESTRE'!G75</f>
        <v>12.854.865/0001-02</v>
      </c>
      <c r="H75" s="121" t="str">
        <f>'4o TRIMESTRE'!H75</f>
        <v>COELHO DE ANDRADE ENGENHARIA LTDA</v>
      </c>
      <c r="I75" s="122" t="str">
        <f>'4o TRIMESTRE'!I75</f>
        <v>6-015/22</v>
      </c>
      <c r="J75" s="123">
        <f>'4o TRIMESTRE'!J75</f>
        <v>44649</v>
      </c>
      <c r="K75" s="122">
        <f>'4o TRIMESTRE'!K75</f>
        <v>1825</v>
      </c>
      <c r="L75" s="18">
        <f>'4o TRIMESTRE'!L75</f>
        <v>86512024.75</v>
      </c>
      <c r="M75" s="123">
        <f>'4o TRIMESTRE'!M75</f>
        <v>46474</v>
      </c>
      <c r="N75" s="122">
        <f>'4o TRIMESTRE'!N75</f>
        <v>0</v>
      </c>
      <c r="O75" s="18">
        <f>'4o TRIMESTRE'!O75</f>
        <v>0</v>
      </c>
      <c r="P75" s="18">
        <v>0</v>
      </c>
      <c r="Q75" s="122" t="str">
        <f>'4o TRIMESTRE'!Q75</f>
        <v>3.3.90.39</v>
      </c>
      <c r="R75" s="18">
        <f>'4o TRIMESTRE'!R75</f>
        <v>0</v>
      </c>
      <c r="S75" s="18">
        <f>'4o TRIMESTRE'!S75</f>
        <v>0</v>
      </c>
      <c r="T75" s="18">
        <f>'4o TRIMESTRE'!T75</f>
        <v>0</v>
      </c>
      <c r="U75" s="18" t="e">
        <f>'4o TRIMESTRE'!U75</f>
        <v>#REF!</v>
      </c>
      <c r="V75" s="139" t="str">
        <f>'4o TRIMESTRE'!V75</f>
        <v>andamento</v>
      </c>
      <c r="W75" s="124" t="e">
        <f t="shared" si="2"/>
        <v>#REF!</v>
      </c>
      <c r="X75" s="138" t="str">
        <f t="shared" si="3"/>
        <v>verdadeiro</v>
      </c>
      <c r="Y75" s="42"/>
      <c r="Z75" s="42"/>
      <c r="AC75" s="124"/>
    </row>
    <row r="76" spans="1:29" ht="20.25" customHeight="1">
      <c r="A76" s="121" t="str">
        <f>'4o TRIMESTRE'!A76</f>
        <v>CONCORRÊNCIA / nº 001/2021</v>
      </c>
      <c r="B76" s="121" t="str">
        <f>'4o TRIMESTRE'!B76</f>
        <v>CONTRATAÇÃO DE EMPRESA SANITÁRIA ESPECIALIZADA PARA A EXECUÇÃO DOS SERVIÇOS DE COLETA E LIMPEZA URBANA NO MUNICÍPIO DO RECIFE. LOTE 2- A</v>
      </c>
      <c r="C76" s="121" t="str">
        <f>'4o TRIMESTRE'!C76</f>
        <v>535346/2020</v>
      </c>
      <c r="D76" s="18">
        <f>'4o TRIMESTRE'!D76</f>
        <v>0</v>
      </c>
      <c r="E76" s="18">
        <f>'4o TRIMESTRE'!E76</f>
        <v>15823300.23</v>
      </c>
      <c r="F76" s="18">
        <f>'4o TRIMESTRE'!F76</f>
        <v>0</v>
      </c>
      <c r="G76" s="121" t="str">
        <f>'4o TRIMESTRE'!G76</f>
        <v>02.536.066/0015-21</v>
      </c>
      <c r="H76" s="121" t="str">
        <f>'4o TRIMESTRE'!H76</f>
        <v>VITAL ENGENHARIA AMBIENTAL S/A</v>
      </c>
      <c r="I76" s="122" t="str">
        <f>'4o TRIMESTRE'!I76</f>
        <v>6-016/22</v>
      </c>
      <c r="J76" s="123">
        <f>'4o TRIMESTRE'!J76</f>
        <v>44649</v>
      </c>
      <c r="K76" s="122">
        <f>'4o TRIMESTRE'!K76</f>
        <v>1825</v>
      </c>
      <c r="L76" s="18">
        <f>'4o TRIMESTRE'!L76</f>
        <v>480063123.50999999</v>
      </c>
      <c r="M76" s="123">
        <f>'4o TRIMESTRE'!M76</f>
        <v>46474</v>
      </c>
      <c r="N76" s="122">
        <f>'4o TRIMESTRE'!N76</f>
        <v>0</v>
      </c>
      <c r="O76" s="18">
        <f>'4o TRIMESTRE'!O76</f>
        <v>0</v>
      </c>
      <c r="P76" s="18">
        <v>0</v>
      </c>
      <c r="Q76" s="122" t="str">
        <f>'4o TRIMESTRE'!Q76</f>
        <v>3.3.90.39</v>
      </c>
      <c r="R76" s="18">
        <f>'4o TRIMESTRE'!R76</f>
        <v>0</v>
      </c>
      <c r="S76" s="18">
        <f>'4o TRIMESTRE'!S76</f>
        <v>0</v>
      </c>
      <c r="T76" s="18">
        <f>'4o TRIMESTRE'!T76</f>
        <v>0</v>
      </c>
      <c r="U76" s="18" t="e">
        <f>'4o TRIMESTRE'!U76</f>
        <v>#REF!</v>
      </c>
      <c r="V76" s="139" t="str">
        <f>'4o TRIMESTRE'!V76</f>
        <v>andamento</v>
      </c>
      <c r="W76" s="124" t="e">
        <f t="shared" si="2"/>
        <v>#REF!</v>
      </c>
      <c r="X76" s="138" t="str">
        <f t="shared" si="3"/>
        <v>verdadeiro</v>
      </c>
      <c r="Z76" s="42"/>
      <c r="AC76" s="124"/>
    </row>
    <row r="77" spans="1:29" ht="20.25" customHeight="1">
      <c r="A77" s="121" t="str">
        <f>'4o TRIMESTRE'!A77</f>
        <v>CONCORRÊNCIA / nº 001/2021</v>
      </c>
      <c r="B77" s="121" t="str">
        <f>'4o TRIMESTRE'!B77</f>
        <v>CONTRATAÇÃO DE EMPRESA SANITÁRIA ESPECIALIZADA PARA A EXECUÇÃO DOS SERVIÇOS DE COLETA E LIMPEZA URBANA NO MUNICÍPIO DO RECIFE. LOTE 2-B</v>
      </c>
      <c r="C77" s="121">
        <f>'4o TRIMESTRE'!C77</f>
        <v>0</v>
      </c>
      <c r="D77" s="18">
        <f>'4o TRIMESTRE'!D77</f>
        <v>0</v>
      </c>
      <c r="E77" s="18">
        <f>'4o TRIMESTRE'!E77</f>
        <v>0</v>
      </c>
      <c r="F77" s="18">
        <f>'4o TRIMESTRE'!F77</f>
        <v>0</v>
      </c>
      <c r="G77" s="121" t="str">
        <f>'4o TRIMESTRE'!G77</f>
        <v>12.854.865/0001-02</v>
      </c>
      <c r="H77" s="121" t="str">
        <f>'4o TRIMESTRE'!H77</f>
        <v>COELHO DE ANDRADE ENGENHARIA LTDA</v>
      </c>
      <c r="I77" s="122" t="str">
        <f>'4o TRIMESTRE'!I77</f>
        <v>6-017/22</v>
      </c>
      <c r="J77" s="123">
        <f>'4o TRIMESTRE'!J77</f>
        <v>44649</v>
      </c>
      <c r="K77" s="122">
        <f>'4o TRIMESTRE'!K77</f>
        <v>1825</v>
      </c>
      <c r="L77" s="18">
        <f>'4o TRIMESTRE'!L77</f>
        <v>205730360.58000001</v>
      </c>
      <c r="M77" s="123">
        <f>'4o TRIMESTRE'!M77</f>
        <v>46474</v>
      </c>
      <c r="N77" s="122">
        <f>'4o TRIMESTRE'!N77</f>
        <v>0</v>
      </c>
      <c r="O77" s="18">
        <f>'4o TRIMESTRE'!O77</f>
        <v>82719.179999999993</v>
      </c>
      <c r="P77" s="18">
        <v>0</v>
      </c>
      <c r="Q77" s="122" t="str">
        <f>'4o TRIMESTRE'!Q77</f>
        <v>3.3.90.39</v>
      </c>
      <c r="R77" s="18">
        <f>'4o TRIMESTRE'!R77</f>
        <v>209287.19</v>
      </c>
      <c r="S77" s="18">
        <f>'4o TRIMESTRE'!S77</f>
        <v>140193.79999999999</v>
      </c>
      <c r="T77" s="18">
        <f>'4o TRIMESTRE'!T77</f>
        <v>209287.19</v>
      </c>
      <c r="U77" s="18" t="e">
        <f>'4o TRIMESTRE'!U77</f>
        <v>#REF!</v>
      </c>
      <c r="V77" s="139" t="str">
        <f>'4o TRIMESTRE'!V77</f>
        <v>andamento</v>
      </c>
      <c r="W77" s="124" t="e">
        <f t="shared" si="2"/>
        <v>#REF!</v>
      </c>
      <c r="X77" s="138" t="str">
        <f t="shared" si="3"/>
        <v>verdadeiro</v>
      </c>
      <c r="Z77" s="42"/>
      <c r="AC77" s="124"/>
    </row>
    <row r="78" spans="1:29" ht="20.25" customHeight="1">
      <c r="A78" s="121" t="str">
        <f>'4o TRIMESTRE'!A78</f>
        <v>CONCORRÊNCIA / nº 021/2021</v>
      </c>
      <c r="B78" s="121" t="str">
        <f>'4o TRIMESTRE'!B78</f>
        <v>CONTRATAÇÃO DE EMPRESA DE ENGENHARIA, ESPECIALIZADA EM ILUMINAÇÃO PÚBLICA, PARA FORNECIMENTO E INSTALAÇÃO DE LUMINÁRIAS RGB COM TECNOLOGIA LED E REDE ELÉTRICA, PARA ILUMINAÇÃO CÊNICA, DO TEATRO SANTA IZABEL BAIRRO SANTO ANTÔNIO</v>
      </c>
      <c r="C78" s="121">
        <f>'4o TRIMESTRE'!C78</f>
        <v>0</v>
      </c>
      <c r="D78" s="18" t="str">
        <f>'4o TRIMESTRE'!D78</f>
        <v>FINISA</v>
      </c>
      <c r="E78" s="18">
        <f>'4o TRIMESTRE'!E78</f>
        <v>50000000</v>
      </c>
      <c r="F78" s="18">
        <f>'4o TRIMESTRE'!F78</f>
        <v>0</v>
      </c>
      <c r="G78" s="121" t="str">
        <f>'4o TRIMESTRE'!G78</f>
        <v>01.346.561/0001-00</v>
      </c>
      <c r="H78" s="121" t="str">
        <f>'4o TRIMESTRE'!H78</f>
        <v>VASCONCELOS E SANTOS LTDA</v>
      </c>
      <c r="I78" s="122" t="str">
        <f>'4o TRIMESTRE'!I78</f>
        <v>6-019/22</v>
      </c>
      <c r="J78" s="123">
        <f>'4o TRIMESTRE'!J78</f>
        <v>44651</v>
      </c>
      <c r="K78" s="122">
        <f>'4o TRIMESTRE'!K78</f>
        <v>150</v>
      </c>
      <c r="L78" s="18">
        <f>'4o TRIMESTRE'!L78</f>
        <v>306496.2</v>
      </c>
      <c r="M78" s="123">
        <f>'4o TRIMESTRE'!M78</f>
        <v>44801</v>
      </c>
      <c r="N78" s="122">
        <f>'4o TRIMESTRE'!N78</f>
        <v>0</v>
      </c>
      <c r="O78" s="18">
        <f>'4o TRIMESTRE'!O78</f>
        <v>0</v>
      </c>
      <c r="P78" s="18">
        <v>0</v>
      </c>
      <c r="Q78" s="122" t="str">
        <f>'4o TRIMESTRE'!Q78</f>
        <v>4.4.90.39</v>
      </c>
      <c r="R78" s="18">
        <f>'4o TRIMESTRE'!R78</f>
        <v>402657.70999999996</v>
      </c>
      <c r="S78" s="18">
        <f>'4o TRIMESTRE'!S78</f>
        <v>171253.76000000001</v>
      </c>
      <c r="T78" s="18">
        <f>'4o TRIMESTRE'!T78</f>
        <v>345541.07</v>
      </c>
      <c r="U78" s="18" t="e">
        <f>'4o TRIMESTRE'!U78</f>
        <v>#REF!</v>
      </c>
      <c r="V78" s="139" t="str">
        <f>'4o TRIMESTRE'!V78</f>
        <v>cadastrado</v>
      </c>
      <c r="W78" s="124" t="e">
        <f t="shared" si="2"/>
        <v>#REF!</v>
      </c>
      <c r="X78" s="138" t="str">
        <f t="shared" si="3"/>
        <v>verdadeiro</v>
      </c>
      <c r="Z78" s="42"/>
      <c r="AC78" s="124"/>
    </row>
    <row r="79" spans="1:29" ht="20.25" customHeight="1">
      <c r="A79" s="121" t="e">
        <f>'4o TRIMESTRE'!A79</f>
        <v>#REF!</v>
      </c>
      <c r="B79" s="121" t="e">
        <f>'4o TRIMESTRE'!B79</f>
        <v>#REF!</v>
      </c>
      <c r="C79" s="121">
        <f>'4o TRIMESTRE'!C79</f>
        <v>0</v>
      </c>
      <c r="D79" s="18" t="e">
        <f>'4o TRIMESTRE'!D79</f>
        <v>#REF!</v>
      </c>
      <c r="E79" s="18" t="e">
        <f>'4o TRIMESTRE'!E79</f>
        <v>#REF!</v>
      </c>
      <c r="F79" s="18" t="e">
        <f>'4o TRIMESTRE'!F79</f>
        <v>#REF!</v>
      </c>
      <c r="G79" s="121" t="e">
        <f>'4o TRIMESTRE'!G79</f>
        <v>#REF!</v>
      </c>
      <c r="H79" s="121" t="e">
        <f>'4o TRIMESTRE'!H79</f>
        <v>#REF!</v>
      </c>
      <c r="I79" s="122" t="e">
        <f>'4o TRIMESTRE'!I79</f>
        <v>#REF!</v>
      </c>
      <c r="J79" s="123" t="e">
        <f>'4o TRIMESTRE'!J79</f>
        <v>#REF!</v>
      </c>
      <c r="K79" s="122" t="e">
        <f>'4o TRIMESTRE'!K79</f>
        <v>#REF!</v>
      </c>
      <c r="L79" s="18" t="e">
        <f>'4o TRIMESTRE'!L79</f>
        <v>#REF!</v>
      </c>
      <c r="M79" s="123" t="e">
        <f>'4o TRIMESTRE'!M79</f>
        <v>#REF!</v>
      </c>
      <c r="N79" s="122" t="e">
        <f>'4o TRIMESTRE'!N79</f>
        <v>#REF!</v>
      </c>
      <c r="O79" s="18" t="e">
        <f>'4o TRIMESTRE'!O79</f>
        <v>#REF!</v>
      </c>
      <c r="P79" s="18">
        <v>42323.58</v>
      </c>
      <c r="Q79" s="122" t="e">
        <f>'4o TRIMESTRE'!Q79</f>
        <v>#REF!</v>
      </c>
      <c r="R79" s="18" t="e">
        <f>'4o TRIMESTRE'!R79</f>
        <v>#REF!</v>
      </c>
      <c r="S79" s="18">
        <f>'4o TRIMESTRE'!S79</f>
        <v>0</v>
      </c>
      <c r="T79" s="18" t="e">
        <f>'4o TRIMESTRE'!T79</f>
        <v>#REF!</v>
      </c>
      <c r="U79" s="18" t="e">
        <f>'4o TRIMESTRE'!U79</f>
        <v>#REF!</v>
      </c>
      <c r="V79" s="139" t="e">
        <f>'4o TRIMESTRE'!V79</f>
        <v>#REF!</v>
      </c>
      <c r="W79" s="124" t="e">
        <f t="shared" si="2"/>
        <v>#REF!</v>
      </c>
      <c r="X79" s="138" t="e">
        <f t="shared" si="3"/>
        <v>#REF!</v>
      </c>
      <c r="Z79" s="42"/>
      <c r="AC79" s="124"/>
    </row>
    <row r="80" spans="1:29" ht="20.25" customHeight="1">
      <c r="A80" s="121" t="e">
        <f>'4o TRIMESTRE'!A80</f>
        <v>#REF!</v>
      </c>
      <c r="B80" s="121" t="e">
        <f>'4o TRIMESTRE'!B80</f>
        <v>#REF!</v>
      </c>
      <c r="C80" s="121" t="str">
        <f>'4o TRIMESTRE'!C80</f>
        <v>535346/2020</v>
      </c>
      <c r="D80" s="18" t="e">
        <f>'4o TRIMESTRE'!D80</f>
        <v>#REF!</v>
      </c>
      <c r="E80" s="18" t="e">
        <f>'4o TRIMESTRE'!E80</f>
        <v>#REF!</v>
      </c>
      <c r="F80" s="18" t="e">
        <f>'4o TRIMESTRE'!F80</f>
        <v>#REF!</v>
      </c>
      <c r="G80" s="121" t="e">
        <f>'4o TRIMESTRE'!G80</f>
        <v>#REF!</v>
      </c>
      <c r="H80" s="121" t="e">
        <f>'4o TRIMESTRE'!H80</f>
        <v>#REF!</v>
      </c>
      <c r="I80" s="122" t="e">
        <f>'4o TRIMESTRE'!I80</f>
        <v>#REF!</v>
      </c>
      <c r="J80" s="123" t="e">
        <f>'4o TRIMESTRE'!J80</f>
        <v>#REF!</v>
      </c>
      <c r="K80" s="122" t="e">
        <f>'4o TRIMESTRE'!K80</f>
        <v>#REF!</v>
      </c>
      <c r="L80" s="18" t="e">
        <f>'4o TRIMESTRE'!L80</f>
        <v>#REF!</v>
      </c>
      <c r="M80" s="123" t="e">
        <f>'4o TRIMESTRE'!M80</f>
        <v>#REF!</v>
      </c>
      <c r="N80" s="122" t="e">
        <f>'4o TRIMESTRE'!N80</f>
        <v>#REF!</v>
      </c>
      <c r="O80" s="18" t="e">
        <f>'4o TRIMESTRE'!O80</f>
        <v>#REF!</v>
      </c>
      <c r="P80" s="18">
        <v>0</v>
      </c>
      <c r="Q80" s="122" t="e">
        <f>'4o TRIMESTRE'!Q80</f>
        <v>#REF!</v>
      </c>
      <c r="R80" s="18" t="e">
        <f>'4o TRIMESTRE'!R80</f>
        <v>#REF!</v>
      </c>
      <c r="S80" s="18">
        <f>'4o TRIMESTRE'!S80</f>
        <v>231069.47</v>
      </c>
      <c r="T80" s="18" t="e">
        <f>'4o TRIMESTRE'!T80</f>
        <v>#REF!</v>
      </c>
      <c r="U80" s="18" t="e">
        <f>'4o TRIMESTRE'!U80</f>
        <v>#REF!</v>
      </c>
      <c r="V80" s="139" t="s">
        <v>190</v>
      </c>
      <c r="W80" s="124" t="e">
        <f t="shared" si="2"/>
        <v>#REF!</v>
      </c>
      <c r="X80" s="138" t="e">
        <f t="shared" si="3"/>
        <v>#REF!</v>
      </c>
      <c r="Z80" s="42"/>
      <c r="AB80" s="42"/>
      <c r="AC80" s="124"/>
    </row>
    <row r="81" spans="1:43" ht="20.25" customHeight="1">
      <c r="A81" s="121" t="e">
        <f>'4o TRIMESTRE'!A81</f>
        <v>#REF!</v>
      </c>
      <c r="B81" s="121" t="e">
        <f>'4o TRIMESTRE'!B81</f>
        <v>#REF!</v>
      </c>
      <c r="C81" s="121" t="str">
        <f>'4o TRIMESTRE'!C81</f>
        <v>535346/2020</v>
      </c>
      <c r="D81" s="18" t="e">
        <f>'4o TRIMESTRE'!D81</f>
        <v>#REF!</v>
      </c>
      <c r="E81" s="18" t="e">
        <f>'4o TRIMESTRE'!E81</f>
        <v>#REF!</v>
      </c>
      <c r="F81" s="18" t="e">
        <f>'4o TRIMESTRE'!F81</f>
        <v>#REF!</v>
      </c>
      <c r="G81" s="121" t="e">
        <f>'4o TRIMESTRE'!G81</f>
        <v>#REF!</v>
      </c>
      <c r="H81" s="121" t="e">
        <f>'4o TRIMESTRE'!H81</f>
        <v>#REF!</v>
      </c>
      <c r="I81" s="122" t="e">
        <f>'4o TRIMESTRE'!I81</f>
        <v>#REF!</v>
      </c>
      <c r="J81" s="123" t="e">
        <f>'4o TRIMESTRE'!J81</f>
        <v>#REF!</v>
      </c>
      <c r="K81" s="122" t="e">
        <f>'4o TRIMESTRE'!K81</f>
        <v>#REF!</v>
      </c>
      <c r="L81" s="18" t="e">
        <f>'4o TRIMESTRE'!L81</f>
        <v>#REF!</v>
      </c>
      <c r="M81" s="123" t="e">
        <f>'4o TRIMESTRE'!M81</f>
        <v>#REF!</v>
      </c>
      <c r="N81" s="122" t="e">
        <f>'4o TRIMESTRE'!N81</f>
        <v>#REF!</v>
      </c>
      <c r="O81" s="18" t="e">
        <f>'4o TRIMESTRE'!O81</f>
        <v>#REF!</v>
      </c>
      <c r="P81" s="18">
        <v>0</v>
      </c>
      <c r="Q81" s="122" t="e">
        <f>'4o TRIMESTRE'!Q81</f>
        <v>#REF!</v>
      </c>
      <c r="R81" s="18" t="e">
        <f>'4o TRIMESTRE'!R81</f>
        <v>#REF!</v>
      </c>
      <c r="S81" s="18">
        <f>'4o TRIMESTRE'!S81</f>
        <v>66157.259999999995</v>
      </c>
      <c r="T81" s="18" t="e">
        <f>'4o TRIMESTRE'!T81</f>
        <v>#REF!</v>
      </c>
      <c r="U81" s="18" t="e">
        <f>'4o TRIMESTRE'!U81</f>
        <v>#REF!</v>
      </c>
      <c r="V81" s="139" t="str">
        <f>'4o TRIMESTRE'!V81</f>
        <v>encerrado</v>
      </c>
      <c r="W81" s="124" t="e">
        <f t="shared" si="2"/>
        <v>#REF!</v>
      </c>
      <c r="X81" s="138" t="e">
        <f t="shared" si="3"/>
        <v>#REF!</v>
      </c>
      <c r="Z81" s="42"/>
      <c r="AB81" s="42"/>
      <c r="AC81" s="124"/>
    </row>
    <row r="82" spans="1:43" ht="20.25" customHeight="1">
      <c r="A82" s="121" t="e">
        <f>'4o TRIMESTRE'!A82</f>
        <v>#REF!</v>
      </c>
      <c r="B82" s="121" t="e">
        <f>'4o TRIMESTRE'!B82</f>
        <v>#REF!</v>
      </c>
      <c r="C82" s="121">
        <f>'4o TRIMESTRE'!C82</f>
        <v>0</v>
      </c>
      <c r="D82" s="18" t="e">
        <f>'4o TRIMESTRE'!D82</f>
        <v>#REF!</v>
      </c>
      <c r="E82" s="18" t="e">
        <f>'4o TRIMESTRE'!E82</f>
        <v>#REF!</v>
      </c>
      <c r="F82" s="18" t="e">
        <f>'4o TRIMESTRE'!F82</f>
        <v>#REF!</v>
      </c>
      <c r="G82" s="121" t="e">
        <f>'4o TRIMESTRE'!G82</f>
        <v>#REF!</v>
      </c>
      <c r="H82" s="121" t="e">
        <f>'4o TRIMESTRE'!H82</f>
        <v>#REF!</v>
      </c>
      <c r="I82" s="122" t="e">
        <f>'4o TRIMESTRE'!I82</f>
        <v>#REF!</v>
      </c>
      <c r="J82" s="123" t="e">
        <f>'4o TRIMESTRE'!J82</f>
        <v>#REF!</v>
      </c>
      <c r="K82" s="122" t="e">
        <f>'4o TRIMESTRE'!K82</f>
        <v>#REF!</v>
      </c>
      <c r="L82" s="18" t="e">
        <f>'4o TRIMESTRE'!L82</f>
        <v>#REF!</v>
      </c>
      <c r="M82" s="123" t="e">
        <f>'4o TRIMESTRE'!M82</f>
        <v>#REF!</v>
      </c>
      <c r="N82" s="122" t="e">
        <f>'4o TRIMESTRE'!N82</f>
        <v>#REF!</v>
      </c>
      <c r="O82" s="18" t="e">
        <f>'4o TRIMESTRE'!O82</f>
        <v>#REF!</v>
      </c>
      <c r="P82" s="18">
        <v>3759599.49</v>
      </c>
      <c r="Q82" s="122" t="e">
        <f>'4o TRIMESTRE'!Q82</f>
        <v>#REF!</v>
      </c>
      <c r="R82" s="18" t="e">
        <f>'4o TRIMESTRE'!R82</f>
        <v>#REF!</v>
      </c>
      <c r="S82" s="18">
        <f>'4o TRIMESTRE'!S82</f>
        <v>1836737.2500000002</v>
      </c>
      <c r="T82" s="18" t="e">
        <f>'4o TRIMESTRE'!T82</f>
        <v>#REF!</v>
      </c>
      <c r="U82" s="18" t="e">
        <f>'4o TRIMESTRE'!U82</f>
        <v>#REF!</v>
      </c>
      <c r="V82" s="139" t="e">
        <f>'4o TRIMESTRE'!V82</f>
        <v>#REF!</v>
      </c>
      <c r="W82" s="124" t="e">
        <f t="shared" si="2"/>
        <v>#REF!</v>
      </c>
      <c r="X82" s="138" t="e">
        <f t="shared" si="3"/>
        <v>#REF!</v>
      </c>
      <c r="Z82" s="42"/>
      <c r="AA82" s="45"/>
      <c r="AC82" s="124"/>
    </row>
    <row r="83" spans="1:43" ht="20.25" customHeight="1">
      <c r="A83" s="121" t="e">
        <f>'4o TRIMESTRE'!A83</f>
        <v>#REF!</v>
      </c>
      <c r="B83" s="121" t="e">
        <f>'4o TRIMESTRE'!B83</f>
        <v>#REF!</v>
      </c>
      <c r="C83" s="121">
        <f>'4o TRIMESTRE'!C83</f>
        <v>0</v>
      </c>
      <c r="D83" s="18" t="e">
        <f>'4o TRIMESTRE'!D83</f>
        <v>#REF!</v>
      </c>
      <c r="E83" s="18" t="e">
        <f>'4o TRIMESTRE'!E83</f>
        <v>#REF!</v>
      </c>
      <c r="F83" s="18" t="e">
        <f>'4o TRIMESTRE'!F83</f>
        <v>#REF!</v>
      </c>
      <c r="G83" s="121" t="e">
        <f>'4o TRIMESTRE'!G83</f>
        <v>#REF!</v>
      </c>
      <c r="H83" s="121" t="e">
        <f>'4o TRIMESTRE'!H83</f>
        <v>#REF!</v>
      </c>
      <c r="I83" s="122" t="e">
        <f>'4o TRIMESTRE'!I83</f>
        <v>#REF!</v>
      </c>
      <c r="J83" s="123" t="e">
        <f>'4o TRIMESTRE'!J83</f>
        <v>#REF!</v>
      </c>
      <c r="K83" s="122" t="e">
        <f>'4o TRIMESTRE'!K83</f>
        <v>#REF!</v>
      </c>
      <c r="L83" s="18" t="e">
        <f>'4o TRIMESTRE'!L83</f>
        <v>#REF!</v>
      </c>
      <c r="M83" s="123" t="e">
        <f>'4o TRIMESTRE'!M83</f>
        <v>#REF!</v>
      </c>
      <c r="N83" s="122" t="e">
        <f>'4o TRIMESTRE'!N83</f>
        <v>#REF!</v>
      </c>
      <c r="O83" s="18" t="e">
        <f>'4o TRIMESTRE'!O83</f>
        <v>#REF!</v>
      </c>
      <c r="P83" s="18">
        <v>-131739.4</v>
      </c>
      <c r="Q83" s="122" t="e">
        <f>'4o TRIMESTRE'!Q83</f>
        <v>#REF!</v>
      </c>
      <c r="R83" s="18" t="e">
        <f>'4o TRIMESTRE'!R83</f>
        <v>#REF!</v>
      </c>
      <c r="S83" s="18">
        <f>'4o TRIMESTRE'!S83</f>
        <v>0</v>
      </c>
      <c r="T83" s="18" t="e">
        <f>'4o TRIMESTRE'!T83</f>
        <v>#REF!</v>
      </c>
      <c r="U83" s="18" t="e">
        <f>'4o TRIMESTRE'!U83</f>
        <v>#REF!</v>
      </c>
      <c r="V83" s="139" t="e">
        <f>'4o TRIMESTRE'!V83</f>
        <v>#REF!</v>
      </c>
      <c r="W83" s="124" t="e">
        <f t="shared" si="2"/>
        <v>#REF!</v>
      </c>
      <c r="X83" s="138" t="e">
        <f t="shared" si="3"/>
        <v>#REF!</v>
      </c>
      <c r="Z83" s="42"/>
      <c r="AC83" s="124"/>
    </row>
    <row r="84" spans="1:43" ht="20.25" customHeight="1">
      <c r="A84" s="121" t="e">
        <f>'4o TRIMESTRE'!A84</f>
        <v>#REF!</v>
      </c>
      <c r="B84" s="121" t="e">
        <f>'4o TRIMESTRE'!B84</f>
        <v>#REF!</v>
      </c>
      <c r="C84" s="121">
        <f>'4o TRIMESTRE'!C84</f>
        <v>0</v>
      </c>
      <c r="D84" s="18" t="e">
        <f>'4o TRIMESTRE'!D84</f>
        <v>#REF!</v>
      </c>
      <c r="E84" s="18" t="e">
        <f>'4o TRIMESTRE'!E84</f>
        <v>#REF!</v>
      </c>
      <c r="F84" s="18" t="e">
        <f>'4o TRIMESTRE'!F84</f>
        <v>#REF!</v>
      </c>
      <c r="G84" s="121" t="e">
        <f>'4o TRIMESTRE'!G84</f>
        <v>#REF!</v>
      </c>
      <c r="H84" s="121" t="e">
        <f>'4o TRIMESTRE'!H84</f>
        <v>#REF!</v>
      </c>
      <c r="I84" s="122" t="e">
        <f>'4o TRIMESTRE'!I84</f>
        <v>#REF!</v>
      </c>
      <c r="J84" s="123" t="e">
        <f>'4o TRIMESTRE'!J84</f>
        <v>#REF!</v>
      </c>
      <c r="K84" s="122" t="e">
        <f>'4o TRIMESTRE'!K84</f>
        <v>#REF!</v>
      </c>
      <c r="L84" s="18" t="e">
        <f>'4o TRIMESTRE'!L84</f>
        <v>#REF!</v>
      </c>
      <c r="M84" s="123" t="e">
        <f>'4o TRIMESTRE'!M84</f>
        <v>#REF!</v>
      </c>
      <c r="N84" s="122" t="e">
        <f>'4o TRIMESTRE'!N84</f>
        <v>#REF!</v>
      </c>
      <c r="O84" s="18" t="e">
        <f>'4o TRIMESTRE'!O84</f>
        <v>#REF!</v>
      </c>
      <c r="P84" s="18">
        <v>-44558.22</v>
      </c>
      <c r="Q84" s="122" t="e">
        <f>'4o TRIMESTRE'!Q84</f>
        <v>#REF!</v>
      </c>
      <c r="R84" s="18" t="e">
        <f>'4o TRIMESTRE'!R84</f>
        <v>#REF!</v>
      </c>
      <c r="S84" s="18">
        <f>'4o TRIMESTRE'!S84</f>
        <v>450810.94</v>
      </c>
      <c r="T84" s="18" t="e">
        <f>'4o TRIMESTRE'!T84</f>
        <v>#REF!</v>
      </c>
      <c r="U84" s="18" t="e">
        <f>'4o TRIMESTRE'!U84</f>
        <v>#REF!</v>
      </c>
      <c r="V84" s="139" t="e">
        <f>'4o TRIMESTRE'!V84</f>
        <v>#REF!</v>
      </c>
      <c r="W84" s="124" t="e">
        <f t="shared" si="2"/>
        <v>#REF!</v>
      </c>
      <c r="X84" s="138" t="e">
        <f t="shared" si="3"/>
        <v>#REF!</v>
      </c>
      <c r="Z84" s="42"/>
      <c r="AC84" s="124"/>
    </row>
    <row r="85" spans="1:43" ht="20.25" customHeight="1">
      <c r="A85" s="121" t="e">
        <f>'4o TRIMESTRE'!A85</f>
        <v>#REF!</v>
      </c>
      <c r="B85" s="121" t="e">
        <f>'4o TRIMESTRE'!B85</f>
        <v>#REF!</v>
      </c>
      <c r="C85" s="121">
        <f>'4o TRIMESTRE'!C85</f>
        <v>0</v>
      </c>
      <c r="D85" s="18" t="e">
        <f>'4o TRIMESTRE'!D85</f>
        <v>#REF!</v>
      </c>
      <c r="E85" s="18" t="e">
        <f>'4o TRIMESTRE'!E85</f>
        <v>#REF!</v>
      </c>
      <c r="F85" s="18" t="e">
        <f>'4o TRIMESTRE'!F85</f>
        <v>#REF!</v>
      </c>
      <c r="G85" s="121" t="e">
        <f>'4o TRIMESTRE'!G85</f>
        <v>#REF!</v>
      </c>
      <c r="H85" s="121" t="e">
        <f>'4o TRIMESTRE'!H85</f>
        <v>#REF!</v>
      </c>
      <c r="I85" s="122" t="e">
        <f>'4o TRIMESTRE'!I85</f>
        <v>#REF!</v>
      </c>
      <c r="J85" s="123" t="e">
        <f>'4o TRIMESTRE'!J85</f>
        <v>#REF!</v>
      </c>
      <c r="K85" s="122" t="e">
        <f>'4o TRIMESTRE'!K85</f>
        <v>#REF!</v>
      </c>
      <c r="L85" s="18" t="e">
        <f>'4o TRIMESTRE'!L85</f>
        <v>#REF!</v>
      </c>
      <c r="M85" s="123" t="e">
        <f>'4o TRIMESTRE'!M85</f>
        <v>#REF!</v>
      </c>
      <c r="N85" s="122" t="e">
        <f>'4o TRIMESTRE'!N85</f>
        <v>#REF!</v>
      </c>
      <c r="O85" s="18" t="e">
        <f>'4o TRIMESTRE'!O85</f>
        <v>#REF!</v>
      </c>
      <c r="P85" s="18">
        <v>331908.47999999998</v>
      </c>
      <c r="Q85" s="122" t="e">
        <f>'4o TRIMESTRE'!Q85</f>
        <v>#REF!</v>
      </c>
      <c r="R85" s="18" t="e">
        <f>'4o TRIMESTRE'!R85</f>
        <v>#REF!</v>
      </c>
      <c r="S85" s="18">
        <f>'4o TRIMESTRE'!S85</f>
        <v>275434.18</v>
      </c>
      <c r="T85" s="18" t="e">
        <f>'4o TRIMESTRE'!T85</f>
        <v>#REF!</v>
      </c>
      <c r="U85" s="18" t="e">
        <f>'4o TRIMESTRE'!U85</f>
        <v>#REF!</v>
      </c>
      <c r="V85" s="139" t="str">
        <f>'4o TRIMESTRE'!V85</f>
        <v>encerrado</v>
      </c>
      <c r="W85" s="124" t="e">
        <f t="shared" si="2"/>
        <v>#REF!</v>
      </c>
      <c r="X85" s="138" t="e">
        <f t="shared" si="3"/>
        <v>#REF!</v>
      </c>
      <c r="Z85" s="42"/>
      <c r="AC85" s="124"/>
    </row>
    <row r="86" spans="1:43" ht="20.25" customHeight="1">
      <c r="A86" s="121" t="e">
        <f>'4o TRIMESTRE'!A86</f>
        <v>#REF!</v>
      </c>
      <c r="B86" s="121" t="e">
        <f>'4o TRIMESTRE'!B86</f>
        <v>#REF!</v>
      </c>
      <c r="C86" s="121">
        <f>'4o TRIMESTRE'!C86</f>
        <v>0</v>
      </c>
      <c r="D86" s="18" t="e">
        <f>'4o TRIMESTRE'!D86</f>
        <v>#REF!</v>
      </c>
      <c r="E86" s="18" t="e">
        <f>'4o TRIMESTRE'!E86</f>
        <v>#REF!</v>
      </c>
      <c r="F86" s="18" t="e">
        <f>'4o TRIMESTRE'!F86</f>
        <v>#REF!</v>
      </c>
      <c r="G86" s="121" t="e">
        <f>'4o TRIMESTRE'!G86</f>
        <v>#REF!</v>
      </c>
      <c r="H86" s="121" t="e">
        <f>'4o TRIMESTRE'!H86</f>
        <v>#REF!</v>
      </c>
      <c r="I86" s="122" t="e">
        <f>'4o TRIMESTRE'!I86</f>
        <v>#REF!</v>
      </c>
      <c r="J86" s="123" t="e">
        <f>'4o TRIMESTRE'!J86</f>
        <v>#REF!</v>
      </c>
      <c r="K86" s="122" t="e">
        <f>'4o TRIMESTRE'!K86</f>
        <v>#REF!</v>
      </c>
      <c r="L86" s="18" t="e">
        <f>'4o TRIMESTRE'!L86</f>
        <v>#REF!</v>
      </c>
      <c r="M86" s="123" t="e">
        <f>'4o TRIMESTRE'!M86</f>
        <v>#REF!</v>
      </c>
      <c r="N86" s="122" t="e">
        <f>'4o TRIMESTRE'!N86</f>
        <v>#REF!</v>
      </c>
      <c r="O86" s="18" t="e">
        <f>'4o TRIMESTRE'!O86</f>
        <v>#REF!</v>
      </c>
      <c r="P86" s="18">
        <v>166644.72</v>
      </c>
      <c r="Q86" s="122" t="e">
        <f>'4o TRIMESTRE'!Q86</f>
        <v>#REF!</v>
      </c>
      <c r="R86" s="18" t="e">
        <f>'4o TRIMESTRE'!R86</f>
        <v>#REF!</v>
      </c>
      <c r="S86" s="18">
        <f>'4o TRIMESTRE'!S86</f>
        <v>215156.92</v>
      </c>
      <c r="T86" s="18" t="e">
        <f>'4o TRIMESTRE'!T86</f>
        <v>#REF!</v>
      </c>
      <c r="U86" s="18" t="e">
        <f>'4o TRIMESTRE'!U86</f>
        <v>#REF!</v>
      </c>
      <c r="V86" s="139" t="str">
        <f>'4o TRIMESTRE'!V86</f>
        <v>encerrado</v>
      </c>
      <c r="W86" s="124" t="e">
        <f t="shared" si="2"/>
        <v>#REF!</v>
      </c>
      <c r="X86" s="138" t="e">
        <f t="shared" si="3"/>
        <v>#REF!</v>
      </c>
      <c r="Y86" s="42"/>
      <c r="Z86" s="42"/>
      <c r="AA86" s="127"/>
      <c r="AB86" s="128"/>
      <c r="AC86" s="124"/>
    </row>
    <row r="87" spans="1:43" ht="20.25" customHeight="1">
      <c r="A87" s="121" t="e">
        <f>'4o TRIMESTRE'!A87</f>
        <v>#REF!</v>
      </c>
      <c r="B87" s="121" t="e">
        <f>'4o TRIMESTRE'!B87</f>
        <v>#REF!</v>
      </c>
      <c r="C87" s="121">
        <f>'4o TRIMESTRE'!C87</f>
        <v>0</v>
      </c>
      <c r="D87" s="18" t="e">
        <f>'4o TRIMESTRE'!D87</f>
        <v>#REF!</v>
      </c>
      <c r="E87" s="18" t="e">
        <f>'4o TRIMESTRE'!E87</f>
        <v>#REF!</v>
      </c>
      <c r="F87" s="18" t="e">
        <f>'4o TRIMESTRE'!F87</f>
        <v>#REF!</v>
      </c>
      <c r="G87" s="121" t="e">
        <f>'4o TRIMESTRE'!G87</f>
        <v>#REF!</v>
      </c>
      <c r="H87" s="121" t="e">
        <f>'4o TRIMESTRE'!H87</f>
        <v>#REF!</v>
      </c>
      <c r="I87" s="122" t="e">
        <f>'4o TRIMESTRE'!I87</f>
        <v>#REF!</v>
      </c>
      <c r="J87" s="123" t="e">
        <f>'4o TRIMESTRE'!J87</f>
        <v>#REF!</v>
      </c>
      <c r="K87" s="122" t="e">
        <f>'4o TRIMESTRE'!K87</f>
        <v>#REF!</v>
      </c>
      <c r="L87" s="18" t="e">
        <f>'4o TRIMESTRE'!L87</f>
        <v>#REF!</v>
      </c>
      <c r="M87" s="123" t="e">
        <f>'4o TRIMESTRE'!M87</f>
        <v>#REF!</v>
      </c>
      <c r="N87" s="122" t="e">
        <f>'4o TRIMESTRE'!N87</f>
        <v>#REF!</v>
      </c>
      <c r="O87" s="18" t="e">
        <f>'4o TRIMESTRE'!O87</f>
        <v>#REF!</v>
      </c>
      <c r="P87" s="18">
        <v>0</v>
      </c>
      <c r="Q87" s="122" t="e">
        <f>'4o TRIMESTRE'!Q87</f>
        <v>#REF!</v>
      </c>
      <c r="R87" s="18" t="e">
        <f>'4o TRIMESTRE'!R87</f>
        <v>#REF!</v>
      </c>
      <c r="S87" s="18">
        <f>'4o TRIMESTRE'!S87</f>
        <v>80854.600000000006</v>
      </c>
      <c r="T87" s="18" t="e">
        <f>'4o TRIMESTRE'!T87</f>
        <v>#REF!</v>
      </c>
      <c r="U87" s="18" t="e">
        <f>'4o TRIMESTRE'!U87</f>
        <v>#REF!</v>
      </c>
      <c r="V87" s="139" t="str">
        <f>'4o TRIMESTRE'!V87</f>
        <v>encerrado</v>
      </c>
      <c r="W87" s="124" t="e">
        <f t="shared" si="2"/>
        <v>#REF!</v>
      </c>
      <c r="X87" s="138" t="e">
        <f t="shared" si="3"/>
        <v>#REF!</v>
      </c>
      <c r="Z87" s="42"/>
      <c r="AA87" s="127"/>
      <c r="AB87" s="128"/>
      <c r="AC87" s="124"/>
      <c r="AE87" s="118"/>
      <c r="AP87" s="12"/>
      <c r="AQ87" s="118"/>
    </row>
    <row r="88" spans="1:43" ht="20.25" customHeight="1">
      <c r="A88" s="121"/>
      <c r="B88" s="121"/>
      <c r="C88" s="121"/>
      <c r="D88" s="18"/>
      <c r="E88" s="18"/>
      <c r="F88" s="18"/>
      <c r="G88" s="121"/>
      <c r="H88" s="121"/>
      <c r="I88" s="122"/>
      <c r="J88" s="123"/>
      <c r="K88" s="122"/>
      <c r="L88" s="18"/>
      <c r="M88" s="123"/>
      <c r="N88" s="122"/>
      <c r="O88" s="18"/>
      <c r="P88" s="18"/>
      <c r="Q88" s="122"/>
      <c r="R88" s="18"/>
      <c r="S88" s="18"/>
      <c r="T88" s="18"/>
      <c r="U88" s="18"/>
      <c r="V88" s="139"/>
      <c r="W88" s="124"/>
      <c r="X88" s="138"/>
      <c r="Y88" s="42"/>
      <c r="Z88" s="42"/>
      <c r="AA88" s="127"/>
      <c r="AB88" s="128"/>
      <c r="AC88" s="124"/>
    </row>
    <row r="89" spans="1:43" ht="20.25" customHeight="1">
      <c r="A89" s="121"/>
      <c r="B89" s="121"/>
      <c r="C89" s="121"/>
      <c r="D89" s="18"/>
      <c r="E89" s="18"/>
      <c r="F89" s="18"/>
      <c r="G89" s="121"/>
      <c r="H89" s="121"/>
      <c r="I89" s="122"/>
      <c r="J89" s="123"/>
      <c r="K89" s="122"/>
      <c r="L89" s="18"/>
      <c r="M89" s="123"/>
      <c r="N89" s="122"/>
      <c r="O89" s="18"/>
      <c r="P89" s="18"/>
      <c r="Q89" s="122"/>
      <c r="R89" s="18"/>
      <c r="S89" s="18"/>
      <c r="T89" s="18"/>
      <c r="U89" s="18"/>
      <c r="V89" s="139"/>
      <c r="W89" s="124"/>
      <c r="X89" s="138"/>
      <c r="Z89" s="42"/>
      <c r="AA89" s="127"/>
      <c r="AB89" s="128"/>
      <c r="AC89" s="124"/>
    </row>
    <row r="90" spans="1:43" ht="20.25" customHeight="1">
      <c r="A90" s="121"/>
      <c r="B90" s="121"/>
      <c r="C90" s="121"/>
      <c r="D90" s="18"/>
      <c r="E90" s="18"/>
      <c r="F90" s="18"/>
      <c r="G90" s="121"/>
      <c r="H90" s="121"/>
      <c r="I90" s="122"/>
      <c r="J90" s="123"/>
      <c r="K90" s="122"/>
      <c r="L90" s="18"/>
      <c r="M90" s="123"/>
      <c r="N90" s="122"/>
      <c r="O90" s="18"/>
      <c r="P90" s="18"/>
      <c r="Q90" s="122"/>
      <c r="R90" s="18"/>
      <c r="S90" s="18"/>
      <c r="T90" s="18"/>
      <c r="U90" s="18"/>
      <c r="V90" s="139"/>
      <c r="W90" s="124"/>
      <c r="X90" s="138"/>
      <c r="Z90" s="42"/>
      <c r="AC90" s="124"/>
    </row>
    <row r="91" spans="1:43" ht="20.25" customHeight="1">
      <c r="A91" s="121"/>
      <c r="B91" s="121"/>
      <c r="C91" s="121"/>
      <c r="D91" s="18"/>
      <c r="E91" s="18"/>
      <c r="F91" s="18"/>
      <c r="G91" s="121"/>
      <c r="H91" s="121"/>
      <c r="I91" s="122"/>
      <c r="J91" s="123"/>
      <c r="K91" s="122"/>
      <c r="L91" s="18"/>
      <c r="M91" s="123"/>
      <c r="N91" s="122"/>
      <c r="O91" s="18"/>
      <c r="P91" s="18"/>
      <c r="Q91" s="122"/>
      <c r="R91" s="18"/>
      <c r="S91" s="18"/>
      <c r="T91" s="18"/>
      <c r="U91" s="18"/>
      <c r="V91" s="139"/>
      <c r="W91" s="124"/>
      <c r="X91" s="138"/>
      <c r="Z91" s="42"/>
      <c r="AC91" s="124"/>
    </row>
    <row r="92" spans="1:43" ht="20.25" customHeight="1">
      <c r="A92" s="121"/>
      <c r="B92" s="121"/>
      <c r="C92" s="121"/>
      <c r="D92" s="18"/>
      <c r="E92" s="18"/>
      <c r="F92" s="18"/>
      <c r="G92" s="121"/>
      <c r="H92" s="121"/>
      <c r="I92" s="122"/>
      <c r="J92" s="123"/>
      <c r="K92" s="122"/>
      <c r="L92" s="18"/>
      <c r="M92" s="123"/>
      <c r="N92" s="122"/>
      <c r="O92" s="18"/>
      <c r="P92" s="18"/>
      <c r="Q92" s="122"/>
      <c r="R92" s="18"/>
      <c r="S92" s="18"/>
      <c r="T92" s="18"/>
      <c r="U92" s="18"/>
      <c r="V92" s="139"/>
      <c r="W92" s="124"/>
      <c r="X92" s="138"/>
      <c r="Z92" s="42"/>
      <c r="AC92" s="124"/>
    </row>
    <row r="93" spans="1:43" ht="20.25" customHeight="1">
      <c r="A93" s="121"/>
      <c r="B93" s="121"/>
      <c r="C93" s="121"/>
      <c r="D93" s="18"/>
      <c r="E93" s="18"/>
      <c r="F93" s="18"/>
      <c r="G93" s="121"/>
      <c r="H93" s="121"/>
      <c r="I93" s="122"/>
      <c r="J93" s="123"/>
      <c r="K93" s="122"/>
      <c r="L93" s="18"/>
      <c r="M93" s="123"/>
      <c r="N93" s="122"/>
      <c r="O93" s="18"/>
      <c r="P93" s="18"/>
      <c r="Q93" s="122"/>
      <c r="R93" s="18"/>
      <c r="S93" s="18"/>
      <c r="T93" s="18"/>
      <c r="U93" s="18"/>
      <c r="V93" s="139"/>
      <c r="W93" s="124"/>
      <c r="X93" s="138"/>
      <c r="Z93" s="42"/>
      <c r="AC93" s="124"/>
    </row>
    <row r="94" spans="1:43" ht="20.25" customHeight="1">
      <c r="A94" s="121"/>
      <c r="B94" s="121"/>
      <c r="C94" s="121"/>
      <c r="D94" s="18"/>
      <c r="E94" s="18"/>
      <c r="F94" s="18"/>
      <c r="G94" s="121"/>
      <c r="H94" s="121"/>
      <c r="I94" s="122"/>
      <c r="J94" s="123"/>
      <c r="K94" s="122"/>
      <c r="L94" s="18"/>
      <c r="M94" s="123"/>
      <c r="N94" s="122"/>
      <c r="O94" s="18"/>
      <c r="P94" s="18"/>
      <c r="Q94" s="122"/>
      <c r="R94" s="18"/>
      <c r="S94" s="18"/>
      <c r="T94" s="18"/>
      <c r="U94" s="18"/>
      <c r="V94" s="139"/>
      <c r="W94" s="124"/>
      <c r="X94" s="138"/>
      <c r="Z94" s="42"/>
      <c r="AC94" s="124"/>
    </row>
    <row r="95" spans="1:43" ht="20.25" customHeight="1">
      <c r="A95" s="121"/>
      <c r="B95" s="121"/>
      <c r="C95" s="121"/>
      <c r="D95" s="18"/>
      <c r="E95" s="18"/>
      <c r="F95" s="18"/>
      <c r="G95" s="121"/>
      <c r="H95" s="121"/>
      <c r="I95" s="122"/>
      <c r="J95" s="123"/>
      <c r="K95" s="122"/>
      <c r="L95" s="18"/>
      <c r="M95" s="123"/>
      <c r="N95" s="122"/>
      <c r="O95" s="18"/>
      <c r="P95" s="18"/>
      <c r="Q95" s="122"/>
      <c r="R95" s="18"/>
      <c r="S95" s="18"/>
      <c r="T95" s="18"/>
      <c r="U95" s="18"/>
      <c r="V95" s="139"/>
      <c r="W95" s="124"/>
      <c r="X95" s="138"/>
      <c r="Z95" s="42"/>
      <c r="AC95" s="124"/>
    </row>
    <row r="96" spans="1:43" ht="20.25" customHeight="1">
      <c r="A96" s="121"/>
      <c r="B96" s="121"/>
      <c r="C96" s="121"/>
      <c r="D96" s="18"/>
      <c r="E96" s="18"/>
      <c r="F96" s="18"/>
      <c r="G96" s="121"/>
      <c r="H96" s="121"/>
      <c r="I96" s="122"/>
      <c r="J96" s="123"/>
      <c r="K96" s="122"/>
      <c r="L96" s="18"/>
      <c r="M96" s="123"/>
      <c r="N96" s="122"/>
      <c r="O96" s="18"/>
      <c r="P96" s="18"/>
      <c r="Q96" s="122"/>
      <c r="R96" s="18"/>
      <c r="S96" s="18"/>
      <c r="T96" s="18"/>
      <c r="U96" s="18"/>
      <c r="V96" s="139"/>
      <c r="W96" s="124"/>
      <c r="X96" s="138"/>
      <c r="Z96" s="42"/>
      <c r="AC96" s="124"/>
    </row>
    <row r="97" spans="1:119" ht="20.25" customHeight="1">
      <c r="A97" s="121"/>
      <c r="B97" s="121"/>
      <c r="C97" s="121"/>
      <c r="D97" s="18"/>
      <c r="E97" s="18"/>
      <c r="F97" s="18"/>
      <c r="G97" s="121"/>
      <c r="H97" s="121"/>
      <c r="I97" s="122"/>
      <c r="J97" s="123"/>
      <c r="K97" s="122"/>
      <c r="L97" s="18"/>
      <c r="M97" s="123"/>
      <c r="N97" s="122"/>
      <c r="O97" s="18"/>
      <c r="P97" s="18"/>
      <c r="Q97" s="122"/>
      <c r="R97" s="18"/>
      <c r="S97" s="18"/>
      <c r="T97" s="18"/>
      <c r="U97" s="18"/>
      <c r="V97" s="139"/>
      <c r="W97" s="124"/>
      <c r="X97" s="138"/>
      <c r="Z97" s="42"/>
      <c r="AC97" s="124"/>
    </row>
    <row r="98" spans="1:119" ht="20.25" customHeight="1">
      <c r="A98" s="121"/>
      <c r="B98" s="121"/>
      <c r="C98" s="121"/>
      <c r="D98" s="18"/>
      <c r="E98" s="18"/>
      <c r="F98" s="18"/>
      <c r="G98" s="121"/>
      <c r="H98" s="121"/>
      <c r="I98" s="122"/>
      <c r="J98" s="123"/>
      <c r="K98" s="122"/>
      <c r="L98" s="18"/>
      <c r="M98" s="123"/>
      <c r="N98" s="122"/>
      <c r="O98" s="18"/>
      <c r="P98" s="18"/>
      <c r="Q98" s="122"/>
      <c r="R98" s="18"/>
      <c r="S98" s="18"/>
      <c r="T98" s="18"/>
      <c r="U98" s="18"/>
      <c r="V98" s="139"/>
      <c r="W98" s="124"/>
      <c r="X98" s="138"/>
      <c r="Z98" s="42"/>
      <c r="AC98" s="124"/>
    </row>
    <row r="99" spans="1:119" ht="20.25" customHeight="1">
      <c r="A99" s="121"/>
      <c r="B99" s="121"/>
      <c r="C99" s="121"/>
      <c r="D99" s="18"/>
      <c r="E99" s="18"/>
      <c r="F99" s="18"/>
      <c r="G99" s="121"/>
      <c r="H99" s="121"/>
      <c r="I99" s="122"/>
      <c r="J99" s="123"/>
      <c r="K99" s="122"/>
      <c r="L99" s="18"/>
      <c r="M99" s="123"/>
      <c r="N99" s="122"/>
      <c r="O99" s="18"/>
      <c r="P99" s="18"/>
      <c r="Q99" s="122"/>
      <c r="R99" s="18"/>
      <c r="S99" s="18"/>
      <c r="T99" s="18"/>
      <c r="U99" s="18"/>
      <c r="V99" s="139"/>
      <c r="W99" s="124"/>
      <c r="X99" s="138"/>
      <c r="Y99" s="42"/>
      <c r="Z99" s="42"/>
      <c r="AC99" s="124"/>
    </row>
    <row r="100" spans="1:119" ht="20.25" customHeight="1">
      <c r="A100" s="121"/>
      <c r="B100" s="121"/>
      <c r="C100" s="121"/>
      <c r="D100" s="18"/>
      <c r="E100" s="18"/>
      <c r="F100" s="18"/>
      <c r="G100" s="121"/>
      <c r="H100" s="121"/>
      <c r="I100" s="122"/>
      <c r="J100" s="123"/>
      <c r="K100" s="122"/>
      <c r="L100" s="18"/>
      <c r="M100" s="123"/>
      <c r="N100" s="122"/>
      <c r="O100" s="18"/>
      <c r="P100" s="18"/>
      <c r="Q100" s="122"/>
      <c r="R100" s="18"/>
      <c r="S100" s="18"/>
      <c r="T100" s="18"/>
      <c r="U100" s="18"/>
      <c r="V100" s="139"/>
      <c r="W100" s="124"/>
      <c r="X100" s="138"/>
      <c r="Z100" s="42"/>
      <c r="AC100" s="124"/>
    </row>
    <row r="101" spans="1:119" ht="20.25" customHeight="1">
      <c r="A101" s="121"/>
      <c r="B101" s="121"/>
      <c r="C101" s="121"/>
      <c r="D101" s="18"/>
      <c r="E101" s="18"/>
      <c r="F101" s="18"/>
      <c r="G101" s="121"/>
      <c r="H101" s="121"/>
      <c r="I101" s="122"/>
      <c r="J101" s="123"/>
      <c r="K101" s="122"/>
      <c r="L101" s="18"/>
      <c r="M101" s="123"/>
      <c r="N101" s="122"/>
      <c r="O101" s="18"/>
      <c r="P101" s="18"/>
      <c r="Q101" s="122"/>
      <c r="R101" s="18"/>
      <c r="S101" s="18"/>
      <c r="T101" s="18"/>
      <c r="U101" s="18"/>
      <c r="V101" s="139"/>
      <c r="W101" s="124"/>
      <c r="X101" s="138"/>
      <c r="Y101" s="42"/>
      <c r="Z101" s="42"/>
      <c r="AC101" s="124"/>
    </row>
    <row r="102" spans="1:119" ht="20.25" customHeight="1">
      <c r="A102" s="121"/>
      <c r="B102" s="121"/>
      <c r="C102" s="121"/>
      <c r="D102" s="18"/>
      <c r="E102" s="18"/>
      <c r="F102" s="18"/>
      <c r="G102" s="121"/>
      <c r="H102" s="121"/>
      <c r="I102" s="122"/>
      <c r="J102" s="123"/>
      <c r="K102" s="122"/>
      <c r="L102" s="18"/>
      <c r="M102" s="123"/>
      <c r="N102" s="122"/>
      <c r="O102" s="18"/>
      <c r="P102" s="18"/>
      <c r="Q102" s="122"/>
      <c r="R102" s="18"/>
      <c r="S102" s="18"/>
      <c r="T102" s="18"/>
      <c r="U102" s="18"/>
      <c r="V102" s="139"/>
      <c r="W102" s="124"/>
      <c r="X102" s="138"/>
      <c r="Z102" s="42"/>
      <c r="AC102" s="124"/>
    </row>
    <row r="103" spans="1:119" ht="20.25" customHeight="1">
      <c r="A103" s="121"/>
      <c r="B103" s="121"/>
      <c r="C103" s="121"/>
      <c r="D103" s="18"/>
      <c r="E103" s="18"/>
      <c r="F103" s="18"/>
      <c r="G103" s="121"/>
      <c r="H103" s="121"/>
      <c r="I103" s="122"/>
      <c r="J103" s="123"/>
      <c r="K103" s="122"/>
      <c r="L103" s="18"/>
      <c r="M103" s="123"/>
      <c r="N103" s="122"/>
      <c r="O103" s="18"/>
      <c r="P103" s="18"/>
      <c r="Q103" s="122"/>
      <c r="R103" s="18"/>
      <c r="S103" s="18"/>
      <c r="T103" s="18"/>
      <c r="U103" s="18"/>
      <c r="V103" s="139"/>
      <c r="W103" s="124"/>
      <c r="X103" s="138"/>
      <c r="Z103" s="42"/>
      <c r="AC103" s="124"/>
    </row>
    <row r="104" spans="1:119" ht="20.25" customHeight="1">
      <c r="A104" s="121"/>
      <c r="B104" s="121"/>
      <c r="C104" s="121"/>
      <c r="D104" s="18"/>
      <c r="E104" s="18"/>
      <c r="F104" s="18"/>
      <c r="G104" s="121"/>
      <c r="H104" s="121"/>
      <c r="I104" s="122"/>
      <c r="J104" s="123"/>
      <c r="K104" s="122"/>
      <c r="L104" s="18"/>
      <c r="M104" s="123"/>
      <c r="N104" s="122"/>
      <c r="O104" s="18"/>
      <c r="P104" s="18"/>
      <c r="Q104" s="122"/>
      <c r="R104" s="18"/>
      <c r="S104" s="18"/>
      <c r="T104" s="18"/>
      <c r="U104" s="18"/>
      <c r="V104" s="139"/>
      <c r="W104" s="124"/>
      <c r="X104" s="138"/>
      <c r="Z104" s="42"/>
      <c r="AC104" s="124"/>
    </row>
    <row r="105" spans="1:119" ht="20.25" customHeight="1">
      <c r="A105" s="121"/>
      <c r="B105" s="121"/>
      <c r="C105" s="121"/>
      <c r="D105" s="18"/>
      <c r="E105" s="18"/>
      <c r="F105" s="18"/>
      <c r="G105" s="121"/>
      <c r="H105" s="121"/>
      <c r="I105" s="122"/>
      <c r="J105" s="123"/>
      <c r="K105" s="122"/>
      <c r="L105" s="18"/>
      <c r="M105" s="123"/>
      <c r="N105" s="122"/>
      <c r="O105" s="18"/>
      <c r="P105" s="18"/>
      <c r="Q105" s="122"/>
      <c r="R105" s="18"/>
      <c r="S105" s="18"/>
      <c r="T105" s="18"/>
      <c r="U105" s="18"/>
      <c r="V105" s="139"/>
      <c r="W105" s="124"/>
      <c r="X105" s="138"/>
      <c r="Z105" s="42"/>
      <c r="AC105" s="124"/>
    </row>
    <row r="106" spans="1:119" ht="20.25" customHeight="1">
      <c r="A106" s="121"/>
      <c r="B106" s="121"/>
      <c r="C106" s="121"/>
      <c r="D106" s="18"/>
      <c r="E106" s="18"/>
      <c r="F106" s="18"/>
      <c r="G106" s="121"/>
      <c r="H106" s="121"/>
      <c r="I106" s="122"/>
      <c r="J106" s="123"/>
      <c r="K106" s="122"/>
      <c r="L106" s="18"/>
      <c r="M106" s="123"/>
      <c r="N106" s="122"/>
      <c r="O106" s="18"/>
      <c r="P106" s="18"/>
      <c r="Q106" s="122"/>
      <c r="R106" s="18"/>
      <c r="S106" s="18"/>
      <c r="T106" s="18"/>
      <c r="U106" s="18"/>
      <c r="V106" s="139"/>
      <c r="W106" s="124"/>
      <c r="X106" s="138"/>
      <c r="Z106" s="42"/>
      <c r="AC106" s="124"/>
    </row>
    <row r="107" spans="1:119" ht="20.25" customHeight="1">
      <c r="A107" s="121"/>
      <c r="B107" s="121"/>
      <c r="C107" s="121"/>
      <c r="D107" s="18"/>
      <c r="E107" s="18"/>
      <c r="F107" s="18"/>
      <c r="G107" s="121"/>
      <c r="H107" s="121"/>
      <c r="I107" s="122"/>
      <c r="J107" s="123"/>
      <c r="K107" s="122"/>
      <c r="L107" s="18"/>
      <c r="M107" s="123"/>
      <c r="N107" s="122"/>
      <c r="O107" s="18"/>
      <c r="P107" s="18"/>
      <c r="Q107" s="122"/>
      <c r="R107" s="18"/>
      <c r="S107" s="18"/>
      <c r="T107" s="18"/>
      <c r="U107" s="18"/>
      <c r="V107" s="139"/>
      <c r="W107" s="124"/>
      <c r="X107" s="138"/>
      <c r="Z107" s="42"/>
      <c r="AC107" s="124"/>
    </row>
    <row r="108" spans="1:119" ht="20.25" customHeight="1">
      <c r="A108" s="121"/>
      <c r="B108" s="121"/>
      <c r="C108" s="121"/>
      <c r="D108" s="18"/>
      <c r="E108" s="18"/>
      <c r="F108" s="18"/>
      <c r="G108" s="121"/>
      <c r="H108" s="121"/>
      <c r="I108" s="122"/>
      <c r="J108" s="123"/>
      <c r="K108" s="122"/>
      <c r="L108" s="18"/>
      <c r="M108" s="123"/>
      <c r="N108" s="122"/>
      <c r="O108" s="18"/>
      <c r="P108" s="18"/>
      <c r="Q108" s="122"/>
      <c r="R108" s="18"/>
      <c r="S108" s="18"/>
      <c r="T108" s="18"/>
      <c r="U108" s="18"/>
      <c r="V108" s="139"/>
      <c r="W108" s="124"/>
      <c r="X108" s="138"/>
      <c r="Z108" s="42"/>
    </row>
    <row r="109" spans="1:119" ht="20.25" customHeight="1">
      <c r="A109" s="121"/>
      <c r="B109" s="121"/>
      <c r="C109" s="121"/>
      <c r="D109" s="18"/>
      <c r="E109" s="18"/>
      <c r="F109" s="18"/>
      <c r="G109" s="121"/>
      <c r="H109" s="121"/>
      <c r="I109" s="122"/>
      <c r="J109" s="123"/>
      <c r="K109" s="122"/>
      <c r="L109" s="18"/>
      <c r="M109" s="123"/>
      <c r="N109" s="122"/>
      <c r="O109" s="18"/>
      <c r="P109" s="18"/>
      <c r="Q109" s="122"/>
      <c r="R109" s="18"/>
      <c r="S109" s="18"/>
      <c r="T109" s="18"/>
      <c r="U109" s="18"/>
      <c r="V109" s="139"/>
      <c r="W109" s="124"/>
      <c r="X109" s="138"/>
      <c r="Z109" s="42"/>
    </row>
    <row r="110" spans="1:119" s="121" customFormat="1" ht="20.25" customHeight="1">
      <c r="D110" s="18"/>
      <c r="E110" s="18"/>
      <c r="F110" s="18"/>
      <c r="I110" s="122"/>
      <c r="J110" s="123"/>
      <c r="K110" s="122"/>
      <c r="L110" s="18"/>
      <c r="M110" s="123"/>
      <c r="N110" s="122"/>
      <c r="O110" s="18"/>
      <c r="P110" s="18"/>
      <c r="Q110" s="122"/>
      <c r="R110" s="18"/>
      <c r="S110" s="18"/>
      <c r="T110" s="18"/>
      <c r="U110" s="18"/>
      <c r="V110" s="139"/>
      <c r="W110" s="124"/>
      <c r="X110" s="138"/>
      <c r="Y110" s="25"/>
      <c r="Z110" s="42"/>
      <c r="AA110" s="20"/>
      <c r="AB110" s="20"/>
      <c r="AC110" s="129"/>
      <c r="AD110" s="73"/>
      <c r="AE110" s="73"/>
      <c r="AF110" s="130"/>
      <c r="AG110" s="130"/>
      <c r="AH110" s="130"/>
      <c r="AI110" s="130"/>
      <c r="AJ110" s="130"/>
      <c r="AK110" s="130"/>
      <c r="AL110" s="130"/>
      <c r="AM110" s="130"/>
      <c r="AN110" s="130"/>
      <c r="AO110" s="130"/>
      <c r="AP110" s="130"/>
      <c r="AQ110" s="73"/>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0"/>
      <c r="CY110" s="130"/>
      <c r="CZ110" s="130"/>
      <c r="DA110" s="130"/>
      <c r="DB110" s="130"/>
      <c r="DC110" s="130"/>
      <c r="DD110" s="130"/>
      <c r="DE110" s="130"/>
      <c r="DF110" s="130"/>
      <c r="DG110" s="130"/>
      <c r="DH110" s="130"/>
      <c r="DI110" s="130"/>
      <c r="DJ110" s="130"/>
      <c r="DK110" s="130"/>
      <c r="DL110" s="130"/>
      <c r="DM110" s="130"/>
      <c r="DN110" s="130"/>
      <c r="DO110" s="131"/>
    </row>
    <row r="111" spans="1:119" ht="20.25" customHeight="1">
      <c r="A111" s="121"/>
      <c r="B111" s="121"/>
      <c r="C111" s="121"/>
      <c r="D111" s="18"/>
      <c r="E111" s="18"/>
      <c r="F111" s="18"/>
      <c r="G111" s="121"/>
      <c r="H111" s="121"/>
      <c r="I111" s="122"/>
      <c r="J111" s="123"/>
      <c r="K111" s="122"/>
      <c r="L111" s="18"/>
      <c r="M111" s="123"/>
      <c r="N111" s="122"/>
      <c r="O111" s="18"/>
      <c r="P111" s="18"/>
      <c r="Q111" s="122"/>
      <c r="R111" s="18"/>
      <c r="S111" s="18"/>
      <c r="T111" s="18"/>
      <c r="U111" s="18"/>
      <c r="V111" s="139"/>
      <c r="W111" s="124"/>
      <c r="X111" s="138"/>
    </row>
    <row r="112" spans="1:119" ht="20.25" customHeight="1">
      <c r="A112" s="121"/>
      <c r="B112" s="121"/>
      <c r="C112" s="121"/>
      <c r="D112" s="18"/>
      <c r="E112" s="18"/>
      <c r="F112" s="18"/>
      <c r="G112" s="121"/>
      <c r="H112" s="121"/>
      <c r="I112" s="122"/>
      <c r="J112" s="123"/>
      <c r="K112" s="122"/>
      <c r="L112" s="18"/>
      <c r="M112" s="123"/>
      <c r="N112" s="122"/>
      <c r="O112" s="18"/>
      <c r="P112" s="18"/>
      <c r="Q112" s="122"/>
      <c r="R112" s="18"/>
      <c r="S112" s="18"/>
      <c r="T112" s="18"/>
      <c r="U112" s="18"/>
      <c r="V112" s="139"/>
      <c r="W112" s="124"/>
      <c r="X112" s="138"/>
    </row>
    <row r="113" spans="1:24" ht="20.25" customHeight="1">
      <c r="A113" s="121"/>
      <c r="B113" s="121"/>
      <c r="C113" s="121"/>
      <c r="D113" s="18"/>
      <c r="E113" s="18"/>
      <c r="F113" s="18"/>
      <c r="G113" s="121"/>
      <c r="H113" s="121"/>
      <c r="I113" s="122"/>
      <c r="J113" s="123"/>
      <c r="K113" s="122"/>
      <c r="L113" s="18"/>
      <c r="M113" s="123"/>
      <c r="N113" s="122"/>
      <c r="O113" s="18"/>
      <c r="P113" s="18"/>
      <c r="Q113" s="122"/>
      <c r="R113" s="18"/>
      <c r="S113" s="18"/>
      <c r="T113" s="18"/>
      <c r="U113" s="18"/>
      <c r="V113" s="139"/>
      <c r="W113" s="124"/>
      <c r="X113" s="138"/>
    </row>
    <row r="114" spans="1:24" ht="20.25" customHeight="1">
      <c r="A114" s="121"/>
      <c r="B114" s="121"/>
      <c r="C114" s="121"/>
      <c r="D114" s="18"/>
      <c r="E114" s="18"/>
      <c r="F114" s="18"/>
      <c r="G114" s="121"/>
      <c r="H114" s="121"/>
      <c r="I114" s="122"/>
      <c r="J114" s="123"/>
      <c r="K114" s="122"/>
      <c r="L114" s="18"/>
      <c r="M114" s="123"/>
      <c r="N114" s="122"/>
      <c r="O114" s="18"/>
      <c r="P114" s="18"/>
      <c r="Q114" s="122"/>
      <c r="R114" s="18"/>
      <c r="S114" s="18"/>
      <c r="T114" s="18"/>
      <c r="U114" s="18"/>
      <c r="V114" s="139"/>
      <c r="W114" s="124"/>
      <c r="X114" s="138"/>
    </row>
    <row r="115" spans="1:24" ht="20.25" customHeight="1">
      <c r="A115" s="121"/>
      <c r="B115" s="121"/>
      <c r="C115" s="121"/>
      <c r="D115" s="18"/>
      <c r="E115" s="18"/>
      <c r="F115" s="18"/>
      <c r="G115" s="121"/>
      <c r="H115" s="121"/>
      <c r="I115" s="122"/>
      <c r="J115" s="123"/>
      <c r="K115" s="122"/>
      <c r="L115" s="18"/>
      <c r="M115" s="123"/>
      <c r="N115" s="122"/>
      <c r="O115" s="18"/>
      <c r="P115" s="18"/>
      <c r="Q115" s="122"/>
      <c r="R115" s="18"/>
      <c r="S115" s="18"/>
      <c r="T115" s="18"/>
      <c r="U115" s="18"/>
      <c r="V115" s="139"/>
      <c r="W115" s="124"/>
      <c r="X115" s="138"/>
    </row>
    <row r="116" spans="1:24" ht="20.25" customHeight="1">
      <c r="A116" s="121"/>
      <c r="B116" s="121"/>
      <c r="C116" s="121"/>
      <c r="D116" s="18"/>
      <c r="E116" s="18"/>
      <c r="F116" s="18"/>
      <c r="G116" s="121"/>
      <c r="H116" s="121"/>
      <c r="I116" s="122"/>
      <c r="J116" s="123"/>
      <c r="K116" s="122"/>
      <c r="L116" s="18"/>
      <c r="M116" s="123"/>
      <c r="N116" s="122"/>
      <c r="O116" s="18"/>
      <c r="P116" s="18"/>
      <c r="Q116" s="122"/>
      <c r="R116" s="18"/>
      <c r="S116" s="18"/>
      <c r="T116" s="18"/>
      <c r="U116" s="18"/>
      <c r="V116" s="139"/>
      <c r="W116" s="124"/>
      <c r="X116" s="138"/>
    </row>
    <row r="117" spans="1:24" ht="20.25" customHeight="1">
      <c r="A117" s="121"/>
      <c r="B117" s="121"/>
      <c r="C117" s="121"/>
      <c r="D117" s="18"/>
      <c r="E117" s="18"/>
      <c r="F117" s="18"/>
      <c r="G117" s="121"/>
      <c r="H117" s="121"/>
      <c r="I117" s="122"/>
      <c r="J117" s="123"/>
      <c r="K117" s="122"/>
      <c r="L117" s="18"/>
      <c r="M117" s="123"/>
      <c r="N117" s="122"/>
      <c r="O117" s="18"/>
      <c r="P117" s="18"/>
      <c r="Q117" s="122"/>
      <c r="R117" s="18"/>
      <c r="S117" s="18"/>
      <c r="T117" s="18"/>
      <c r="U117" s="18"/>
      <c r="V117" s="139"/>
      <c r="W117" s="124"/>
      <c r="X117" s="138"/>
    </row>
    <row r="118" spans="1:24" ht="20.25" customHeight="1">
      <c r="A118" s="121"/>
      <c r="B118" s="121"/>
      <c r="C118" s="121"/>
      <c r="D118" s="18"/>
      <c r="E118" s="18"/>
      <c r="F118" s="18"/>
      <c r="G118" s="121"/>
      <c r="H118" s="121"/>
      <c r="I118" s="122"/>
      <c r="J118" s="123"/>
      <c r="K118" s="122"/>
      <c r="L118" s="18"/>
      <c r="M118" s="123"/>
      <c r="N118" s="122"/>
      <c r="O118" s="18"/>
      <c r="P118" s="18"/>
      <c r="Q118" s="122"/>
      <c r="R118" s="18"/>
      <c r="S118" s="18"/>
      <c r="T118" s="18"/>
      <c r="U118" s="18"/>
      <c r="V118" s="139"/>
      <c r="W118" s="124"/>
      <c r="X118" s="138"/>
    </row>
    <row r="119" spans="1:24" ht="20.25" customHeight="1">
      <c r="A119" s="121"/>
      <c r="B119" s="121"/>
      <c r="C119" s="121"/>
      <c r="D119" s="18"/>
      <c r="E119" s="18"/>
      <c r="F119" s="18"/>
      <c r="G119" s="121"/>
      <c r="H119" s="121"/>
      <c r="I119" s="122"/>
      <c r="J119" s="123"/>
      <c r="K119" s="122"/>
      <c r="L119" s="18"/>
      <c r="M119" s="123"/>
      <c r="N119" s="122"/>
      <c r="O119" s="18"/>
      <c r="P119" s="18"/>
      <c r="Q119" s="122"/>
      <c r="R119" s="18"/>
      <c r="S119" s="18"/>
      <c r="T119" s="18"/>
      <c r="U119" s="18"/>
      <c r="V119" s="139"/>
      <c r="W119" s="124"/>
      <c r="X119" s="138"/>
    </row>
    <row r="120" spans="1:24" ht="20.25" customHeight="1">
      <c r="A120" s="121"/>
      <c r="B120" s="121"/>
      <c r="C120" s="121"/>
      <c r="D120" s="18"/>
      <c r="E120" s="18"/>
      <c r="F120" s="18"/>
      <c r="G120" s="121"/>
      <c r="H120" s="121"/>
      <c r="I120" s="122"/>
      <c r="J120" s="123"/>
      <c r="K120" s="122"/>
      <c r="L120" s="18"/>
      <c r="M120" s="123"/>
      <c r="N120" s="122"/>
      <c r="O120" s="18"/>
      <c r="P120" s="18"/>
      <c r="Q120" s="122"/>
      <c r="R120" s="18"/>
      <c r="S120" s="18"/>
      <c r="T120" s="18"/>
      <c r="U120" s="18"/>
      <c r="V120" s="139"/>
      <c r="W120" s="124"/>
      <c r="X120" s="138"/>
    </row>
    <row r="121" spans="1:24" ht="20.25" customHeight="1">
      <c r="A121" s="121"/>
      <c r="B121" s="121"/>
      <c r="C121" s="121"/>
      <c r="D121" s="18"/>
      <c r="E121" s="18"/>
      <c r="F121" s="18"/>
      <c r="G121" s="121"/>
      <c r="H121" s="121"/>
      <c r="I121" s="122"/>
      <c r="J121" s="123"/>
      <c r="K121" s="122"/>
      <c r="L121" s="18"/>
      <c r="M121" s="123"/>
      <c r="N121" s="122"/>
      <c r="O121" s="18"/>
      <c r="P121" s="18"/>
      <c r="Q121" s="122"/>
      <c r="R121" s="18"/>
      <c r="S121" s="18"/>
      <c r="T121" s="18"/>
      <c r="U121" s="18"/>
      <c r="V121" s="139"/>
      <c r="W121" s="124"/>
      <c r="X121" s="138"/>
    </row>
    <row r="122" spans="1:24" ht="20.25" customHeight="1">
      <c r="A122" s="121"/>
      <c r="B122" s="121"/>
      <c r="C122" s="121"/>
      <c r="D122" s="18"/>
      <c r="E122" s="18"/>
      <c r="F122" s="18"/>
      <c r="G122" s="121"/>
      <c r="H122" s="121"/>
      <c r="I122" s="122"/>
      <c r="J122" s="123"/>
      <c r="K122" s="122"/>
      <c r="L122" s="18"/>
      <c r="M122" s="123"/>
      <c r="N122" s="122"/>
      <c r="O122" s="18"/>
      <c r="P122" s="18"/>
      <c r="Q122" s="122"/>
      <c r="R122" s="18"/>
      <c r="S122" s="18"/>
      <c r="T122" s="18"/>
      <c r="U122" s="18"/>
      <c r="V122" s="139"/>
      <c r="W122" s="124"/>
      <c r="X122" s="138"/>
    </row>
    <row r="123" spans="1:24" ht="20.25" customHeight="1">
      <c r="A123" s="121"/>
      <c r="B123" s="121"/>
      <c r="C123" s="121"/>
      <c r="D123" s="18"/>
      <c r="E123" s="18"/>
      <c r="F123" s="18"/>
      <c r="G123" s="121"/>
      <c r="H123" s="121"/>
      <c r="I123" s="122"/>
      <c r="J123" s="123"/>
      <c r="K123" s="122"/>
      <c r="L123" s="18"/>
      <c r="M123" s="123"/>
      <c r="N123" s="122"/>
      <c r="O123" s="18"/>
      <c r="P123" s="18"/>
      <c r="Q123" s="122"/>
      <c r="R123" s="18"/>
      <c r="S123" s="18"/>
      <c r="T123" s="18"/>
      <c r="U123" s="18"/>
      <c r="V123" s="139"/>
      <c r="W123" s="124"/>
      <c r="X123" s="138"/>
    </row>
    <row r="124" spans="1:24" ht="20.25" customHeight="1">
      <c r="A124" s="121"/>
      <c r="B124" s="121"/>
      <c r="C124" s="121"/>
      <c r="D124" s="18"/>
      <c r="E124" s="18"/>
      <c r="F124" s="18"/>
      <c r="G124" s="121"/>
      <c r="H124" s="121"/>
      <c r="I124" s="122"/>
      <c r="J124" s="123"/>
      <c r="K124" s="122"/>
      <c r="L124" s="18"/>
      <c r="M124" s="123"/>
      <c r="N124" s="122"/>
      <c r="O124" s="18"/>
      <c r="P124" s="18"/>
      <c r="Q124" s="122"/>
      <c r="R124" s="18"/>
      <c r="S124" s="18"/>
      <c r="T124" s="18"/>
      <c r="U124" s="18"/>
      <c r="V124" s="139"/>
      <c r="W124" s="124"/>
      <c r="X124" s="138"/>
    </row>
    <row r="125" spans="1:24" ht="20.25" customHeight="1">
      <c r="A125" s="121"/>
      <c r="B125" s="121"/>
      <c r="C125" s="121"/>
      <c r="D125" s="18"/>
      <c r="E125" s="18"/>
      <c r="F125" s="18"/>
      <c r="G125" s="121"/>
      <c r="H125" s="121"/>
      <c r="I125" s="122"/>
      <c r="J125" s="123"/>
      <c r="K125" s="122"/>
      <c r="L125" s="18"/>
      <c r="M125" s="123"/>
      <c r="N125" s="122"/>
      <c r="O125" s="18"/>
      <c r="P125" s="18"/>
      <c r="Q125" s="122"/>
      <c r="R125" s="18"/>
      <c r="S125" s="18"/>
      <c r="T125" s="18"/>
      <c r="U125" s="18"/>
      <c r="V125" s="139"/>
      <c r="W125" s="124"/>
      <c r="X125" s="138"/>
    </row>
    <row r="126" spans="1:24" ht="20.25" customHeight="1">
      <c r="A126" s="121"/>
      <c r="B126" s="121"/>
      <c r="C126" s="121"/>
      <c r="D126" s="18"/>
      <c r="E126" s="18"/>
      <c r="F126" s="18"/>
      <c r="G126" s="121"/>
      <c r="H126" s="121"/>
      <c r="I126" s="122"/>
      <c r="J126" s="123"/>
      <c r="K126" s="122"/>
      <c r="L126" s="18"/>
      <c r="M126" s="123"/>
      <c r="N126" s="122"/>
      <c r="O126" s="18"/>
      <c r="P126" s="18"/>
      <c r="Q126" s="122"/>
      <c r="R126" s="18"/>
      <c r="S126" s="18"/>
      <c r="T126" s="18"/>
      <c r="U126" s="18"/>
      <c r="V126" s="139"/>
      <c r="W126" s="124"/>
      <c r="X126" s="138"/>
    </row>
    <row r="127" spans="1:24" ht="20.25" customHeight="1">
      <c r="A127" s="121"/>
      <c r="B127" s="121"/>
      <c r="C127" s="121"/>
      <c r="D127" s="18"/>
      <c r="E127" s="18"/>
      <c r="F127" s="18"/>
      <c r="G127" s="121"/>
      <c r="H127" s="121"/>
      <c r="I127" s="122"/>
      <c r="J127" s="123"/>
      <c r="K127" s="122"/>
      <c r="L127" s="18"/>
      <c r="M127" s="123"/>
      <c r="N127" s="122"/>
      <c r="O127" s="18"/>
      <c r="P127" s="18"/>
      <c r="Q127" s="122"/>
      <c r="R127" s="18"/>
      <c r="S127" s="18"/>
      <c r="T127" s="18"/>
      <c r="U127" s="18"/>
      <c r="V127" s="139"/>
      <c r="W127" s="124"/>
      <c r="X127" s="138"/>
    </row>
    <row r="128" spans="1:24" ht="20.25" customHeight="1">
      <c r="A128" s="121"/>
      <c r="B128" s="121"/>
      <c r="C128" s="121"/>
      <c r="D128" s="18"/>
      <c r="E128" s="18"/>
      <c r="F128" s="18"/>
      <c r="G128" s="121"/>
      <c r="H128" s="121"/>
      <c r="I128" s="122"/>
      <c r="J128" s="123"/>
      <c r="K128" s="122"/>
      <c r="L128" s="18"/>
      <c r="M128" s="123"/>
      <c r="N128" s="122"/>
      <c r="O128" s="18"/>
      <c r="P128" s="18"/>
      <c r="Q128" s="122"/>
      <c r="R128" s="18"/>
      <c r="S128" s="18"/>
      <c r="T128" s="18"/>
      <c r="U128" s="18"/>
      <c r="V128" s="139"/>
      <c r="W128" s="124"/>
      <c r="X128" s="138"/>
    </row>
    <row r="129" spans="1:24" ht="20.25" customHeight="1">
      <c r="A129" s="121"/>
      <c r="B129" s="121"/>
      <c r="C129" s="121"/>
      <c r="D129" s="18"/>
      <c r="E129" s="18"/>
      <c r="F129" s="18"/>
      <c r="G129" s="121"/>
      <c r="H129" s="121"/>
      <c r="I129" s="122"/>
      <c r="J129" s="123"/>
      <c r="K129" s="122"/>
      <c r="L129" s="18"/>
      <c r="M129" s="123"/>
      <c r="N129" s="122"/>
      <c r="O129" s="18"/>
      <c r="P129" s="18"/>
      <c r="Q129" s="122"/>
      <c r="R129" s="18"/>
      <c r="S129" s="18"/>
      <c r="T129" s="18"/>
      <c r="U129" s="18"/>
      <c r="V129" s="139"/>
      <c r="W129" s="124"/>
      <c r="X129" s="138"/>
    </row>
    <row r="130" spans="1:24" ht="20.25" customHeight="1">
      <c r="A130" s="121"/>
      <c r="B130" s="121"/>
      <c r="C130" s="121"/>
      <c r="D130" s="18"/>
      <c r="E130" s="18"/>
      <c r="F130" s="18"/>
      <c r="G130" s="121"/>
      <c r="H130" s="121"/>
      <c r="I130" s="122"/>
      <c r="J130" s="123"/>
      <c r="K130" s="122"/>
      <c r="L130" s="18"/>
      <c r="M130" s="123"/>
      <c r="N130" s="122"/>
      <c r="O130" s="18"/>
      <c r="P130" s="18"/>
      <c r="Q130" s="122"/>
      <c r="R130" s="18"/>
      <c r="S130" s="18"/>
      <c r="T130" s="18"/>
      <c r="U130" s="18"/>
      <c r="V130" s="139"/>
      <c r="W130" s="124"/>
      <c r="X130" s="138"/>
    </row>
  </sheetData>
  <autoFilter ref="A7:DO130">
    <filterColumn colId="15"/>
  </autoFilter>
  <mergeCells count="20">
    <mergeCell ref="A5:C5"/>
    <mergeCell ref="Q4:V4"/>
    <mergeCell ref="A6:A7"/>
    <mergeCell ref="B6:B7"/>
    <mergeCell ref="I6:M6"/>
    <mergeCell ref="F4:H4"/>
    <mergeCell ref="C6:F6"/>
    <mergeCell ref="G6:H6"/>
    <mergeCell ref="J5:O5"/>
    <mergeCell ref="V6:V7"/>
    <mergeCell ref="N6:O6"/>
    <mergeCell ref="F5:H5"/>
    <mergeCell ref="J4:O4"/>
    <mergeCell ref="Q5:V5"/>
    <mergeCell ref="Q6:U6"/>
    <mergeCell ref="A1:V1"/>
    <mergeCell ref="A2:F2"/>
    <mergeCell ref="G2:V2"/>
    <mergeCell ref="A3:F3"/>
    <mergeCell ref="G3:V3"/>
  </mergeCells>
  <pageMargins left="0.51181102362204722" right="0.31496062992125984" top="0.39370078740157483" bottom="0.39370078740157483" header="0.31496062992125984" footer="0.31496062992125984"/>
  <pageSetup paperSize="9" orientation="portrait" r:id="rId1"/>
  <headerFooter>
    <oddFooter>&amp;C</oddFooter>
  </headerFooter>
  <legacyDrawing r:id="rId2"/>
</worksheet>
</file>

<file path=xl/worksheets/sheet6.xml><?xml version="1.0" encoding="utf-8"?>
<worksheet xmlns="http://schemas.openxmlformats.org/spreadsheetml/2006/main" xmlns:r="http://schemas.openxmlformats.org/officeDocument/2006/relationships">
  <sheetPr codeName="Plan7"/>
  <dimension ref="B1:F10"/>
  <sheetViews>
    <sheetView showGridLines="0" workbookViewId="0">
      <selection activeCell="B2" sqref="B2"/>
    </sheetView>
  </sheetViews>
  <sheetFormatPr defaultRowHeight="14.6"/>
  <cols>
    <col min="1" max="1" width="1.15234375" customWidth="1"/>
    <col min="2" max="2" width="64.3828125" customWidth="1"/>
    <col min="3" max="3" width="1.53515625" customWidth="1"/>
    <col min="4" max="4" width="5.53515625" customWidth="1"/>
    <col min="5" max="6" width="16" customWidth="1"/>
  </cols>
  <sheetData>
    <row r="1" spans="2:6" ht="29.15">
      <c r="B1" s="1" t="s">
        <v>67</v>
      </c>
      <c r="C1" s="1"/>
      <c r="D1" s="5"/>
      <c r="E1" s="5"/>
      <c r="F1" s="5"/>
    </row>
    <row r="2" spans="2:6">
      <c r="B2" s="1" t="s">
        <v>68</v>
      </c>
      <c r="C2" s="1"/>
      <c r="D2" s="5"/>
      <c r="E2" s="5"/>
      <c r="F2" s="5"/>
    </row>
    <row r="3" spans="2:6">
      <c r="B3" s="2"/>
      <c r="C3" s="2"/>
      <c r="D3" s="6"/>
      <c r="E3" s="6"/>
      <c r="F3" s="6"/>
    </row>
    <row r="4" spans="2:6" ht="58.3">
      <c r="B4" s="2" t="s">
        <v>69</v>
      </c>
      <c r="C4" s="2"/>
      <c r="D4" s="6"/>
      <c r="E4" s="6"/>
      <c r="F4" s="6"/>
    </row>
    <row r="5" spans="2:6">
      <c r="B5" s="2"/>
      <c r="C5" s="2"/>
      <c r="D5" s="6"/>
      <c r="E5" s="6"/>
      <c r="F5" s="6"/>
    </row>
    <row r="6" spans="2:6" ht="29.15">
      <c r="B6" s="1" t="s">
        <v>70</v>
      </c>
      <c r="C6" s="1"/>
      <c r="D6" s="5"/>
      <c r="E6" s="5" t="s">
        <v>71</v>
      </c>
      <c r="F6" s="5" t="s">
        <v>72</v>
      </c>
    </row>
    <row r="7" spans="2:6" ht="15" thickBot="1">
      <c r="B7" s="2"/>
      <c r="C7" s="2"/>
      <c r="D7" s="6"/>
      <c r="E7" s="6"/>
      <c r="F7" s="6"/>
    </row>
    <row r="8" spans="2:6" ht="44.15" thickBot="1">
      <c r="B8" s="3" t="s">
        <v>73</v>
      </c>
      <c r="C8" s="4"/>
      <c r="D8" s="7"/>
      <c r="E8" s="7">
        <v>2</v>
      </c>
      <c r="F8" s="8" t="s">
        <v>74</v>
      </c>
    </row>
    <row r="9" spans="2:6">
      <c r="B9" s="2"/>
      <c r="C9" s="2"/>
      <c r="D9" s="6"/>
      <c r="E9" s="6"/>
      <c r="F9" s="6"/>
    </row>
    <row r="10" spans="2:6">
      <c r="B10" s="2"/>
      <c r="C10" s="2"/>
      <c r="D10" s="6"/>
      <c r="E10" s="6"/>
      <c r="F10" s="6"/>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11</vt:i4>
      </vt:variant>
    </vt:vector>
  </HeadingPairs>
  <TitlesOfParts>
    <vt:vector size="17" baseType="lpstr">
      <vt:lpstr>1º TRIMESTRE</vt:lpstr>
      <vt:lpstr>2º TRIMESTRE</vt:lpstr>
      <vt:lpstr>3o TRIMESTRE</vt:lpstr>
      <vt:lpstr>4o TRIMESTRE</vt:lpstr>
      <vt:lpstr>Consolidado</vt:lpstr>
      <vt:lpstr>Relatório de Compatibilidade</vt:lpstr>
      <vt:lpstr>__Anonymous_Sheet_DB__1</vt:lpstr>
      <vt:lpstr>'1º TRIMESTRE'!Area_de_impressao</vt:lpstr>
      <vt:lpstr>'2º TRIMESTRE'!Area_de_impressao</vt:lpstr>
      <vt:lpstr>'3o TRIMESTRE'!Area_de_impressao</vt:lpstr>
      <vt:lpstr>'4o TRIMESTRE'!Area_de_impressao</vt:lpstr>
      <vt:lpstr>Consolidado!Area_de_impressao</vt:lpstr>
      <vt:lpstr>'1º TRIMESTRE'!Titulos_de_impressao</vt:lpstr>
      <vt:lpstr>'2º TRIMESTRE'!Titulos_de_impressao</vt:lpstr>
      <vt:lpstr>'3o TRIMESTRE'!Titulos_de_impressao</vt:lpstr>
      <vt:lpstr>'4o TRIMESTRE'!Titulos_de_impressao</vt:lpstr>
      <vt:lpstr>Consolidado!Titulos_de_impressao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CTC</dc:creator>
  <cp:lastModifiedBy>monica.knecht</cp:lastModifiedBy>
  <cp:lastPrinted>2022-04-04T13:02:52Z</cp:lastPrinted>
  <dcterms:created xsi:type="dcterms:W3CDTF">2017-05-09T13:26:02Z</dcterms:created>
  <dcterms:modified xsi:type="dcterms:W3CDTF">2022-04-18T12:09:39Z</dcterms:modified>
</cp:coreProperties>
</file>